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QCHARRUA\Documents\ARQUITETURA 2024\Casa Popular\"/>
    </mc:Choice>
  </mc:AlternateContent>
  <bookViews>
    <workbookView xWindow="-120" yWindow="-120" windowWidth="29040" windowHeight="15840"/>
  </bookViews>
  <sheets>
    <sheet name="Orçamento completo" sheetId="1" r:id="rId1"/>
    <sheet name="Físico-Financeiro" sheetId="2" r:id="rId2"/>
    <sheet name="Orçamento 01 residência" sheetId="4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2" l="1"/>
  <c r="J18" i="2"/>
  <c r="D18" i="2"/>
  <c r="K92" i="1"/>
  <c r="M52" i="1"/>
  <c r="M51" i="1"/>
  <c r="M47" i="1"/>
  <c r="M41" i="1"/>
  <c r="M26" i="1"/>
  <c r="M16" i="1"/>
  <c r="M9" i="1"/>
  <c r="C91" i="1" l="1"/>
  <c r="C90" i="1"/>
  <c r="C87" i="1"/>
  <c r="C85" i="1"/>
  <c r="C88" i="1" s="1"/>
  <c r="C78" i="1"/>
  <c r="C77" i="1"/>
  <c r="C76" i="1"/>
  <c r="C67" i="1"/>
  <c r="C66" i="1"/>
  <c r="C65" i="1"/>
  <c r="C64" i="1"/>
  <c r="C63" i="1"/>
  <c r="C61" i="1"/>
  <c r="C59" i="1"/>
  <c r="C58" i="1"/>
  <c r="C57" i="1"/>
  <c r="C56" i="1"/>
  <c r="C55" i="1"/>
  <c r="C54" i="1"/>
  <c r="C53" i="1"/>
  <c r="C52" i="1"/>
  <c r="C51" i="1"/>
  <c r="C48" i="1"/>
  <c r="C47" i="1"/>
  <c r="C46" i="1"/>
  <c r="C45" i="1"/>
  <c r="C44" i="1"/>
  <c r="C43" i="1"/>
  <c r="C41" i="1"/>
  <c r="C40" i="1"/>
  <c r="C39" i="1"/>
  <c r="C38" i="1"/>
  <c r="C37" i="1"/>
  <c r="C34" i="1"/>
  <c r="C33" i="1"/>
  <c r="C30" i="1"/>
  <c r="C29" i="1"/>
  <c r="C28" i="1"/>
  <c r="C27" i="1"/>
  <c r="C26" i="1"/>
  <c r="C24" i="1"/>
  <c r="C23" i="1"/>
  <c r="C22" i="1"/>
  <c r="C21" i="1"/>
  <c r="C20" i="1"/>
  <c r="C19" i="1"/>
  <c r="C17" i="1"/>
  <c r="C16" i="1"/>
  <c r="C15" i="1"/>
  <c r="C14" i="1"/>
  <c r="C13" i="1"/>
  <c r="C12" i="1"/>
  <c r="C11" i="1"/>
  <c r="C9" i="1"/>
  <c r="C89" i="1" l="1"/>
  <c r="O7" i="2"/>
  <c r="O8" i="2"/>
  <c r="O9" i="2"/>
  <c r="O10" i="2"/>
  <c r="O11" i="2"/>
  <c r="O12" i="2"/>
  <c r="O13" i="2"/>
  <c r="O14" i="2"/>
  <c r="O15" i="2"/>
  <c r="O16" i="2"/>
  <c r="O17" i="2"/>
  <c r="O6" i="2"/>
  <c r="M7" i="2"/>
  <c r="M8" i="2"/>
  <c r="M9" i="2"/>
  <c r="M10" i="2"/>
  <c r="M11" i="2"/>
  <c r="M12" i="2"/>
  <c r="M13" i="2"/>
  <c r="M14" i="2"/>
  <c r="M15" i="2"/>
  <c r="M16" i="2"/>
  <c r="M17" i="2"/>
  <c r="M6" i="2"/>
  <c r="K7" i="2"/>
  <c r="K8" i="2"/>
  <c r="K9" i="2"/>
  <c r="K10" i="2"/>
  <c r="K11" i="2"/>
  <c r="K12" i="2"/>
  <c r="K13" i="2"/>
  <c r="K14" i="2"/>
  <c r="K15" i="2"/>
  <c r="K16" i="2"/>
  <c r="K17" i="2"/>
  <c r="K6" i="2"/>
  <c r="I7" i="2"/>
  <c r="I8" i="2"/>
  <c r="I9" i="2"/>
  <c r="I10" i="2"/>
  <c r="I11" i="2"/>
  <c r="I12" i="2"/>
  <c r="I13" i="2"/>
  <c r="I14" i="2"/>
  <c r="I15" i="2"/>
  <c r="I16" i="2"/>
  <c r="I17" i="2"/>
  <c r="I6" i="2"/>
  <c r="G7" i="2"/>
  <c r="G8" i="2"/>
  <c r="G9" i="2"/>
  <c r="G10" i="2"/>
  <c r="G11" i="2"/>
  <c r="G12" i="2"/>
  <c r="G13" i="2"/>
  <c r="G14" i="2"/>
  <c r="G15" i="2"/>
  <c r="G16" i="2"/>
  <c r="G17" i="2"/>
  <c r="G6" i="2"/>
  <c r="E7" i="2"/>
  <c r="E8" i="2"/>
  <c r="E9" i="2"/>
  <c r="E10" i="2"/>
  <c r="E11" i="2"/>
  <c r="E12" i="2"/>
  <c r="E13" i="2"/>
  <c r="E14" i="2"/>
  <c r="E15" i="2"/>
  <c r="E16" i="2"/>
  <c r="E17" i="2"/>
  <c r="E6" i="2"/>
  <c r="B17" i="2" l="1"/>
  <c r="B16" i="2"/>
  <c r="B15" i="2"/>
  <c r="B14" i="2"/>
  <c r="H92" i="4"/>
  <c r="J92" i="4" s="1"/>
  <c r="L92" i="4" s="1"/>
  <c r="G92" i="4"/>
  <c r="I92" i="4" s="1"/>
  <c r="K92" i="4" s="1"/>
  <c r="M92" i="4" s="1"/>
  <c r="J91" i="4"/>
  <c r="L91" i="4" s="1"/>
  <c r="H91" i="4"/>
  <c r="G91" i="4"/>
  <c r="I91" i="4" s="1"/>
  <c r="K91" i="4" s="1"/>
  <c r="M91" i="4" s="1"/>
  <c r="H90" i="4"/>
  <c r="J90" i="4" s="1"/>
  <c r="L90" i="4" s="1"/>
  <c r="G90" i="4"/>
  <c r="I90" i="4" s="1"/>
  <c r="K90" i="4" s="1"/>
  <c r="M90" i="4" s="1"/>
  <c r="C90" i="4"/>
  <c r="H89" i="4"/>
  <c r="J89" i="4" s="1"/>
  <c r="L89" i="4" s="1"/>
  <c r="G89" i="4"/>
  <c r="I89" i="4" s="1"/>
  <c r="K89" i="4" s="1"/>
  <c r="M89" i="4" s="1"/>
  <c r="J88" i="4"/>
  <c r="L88" i="4" s="1"/>
  <c r="I88" i="4"/>
  <c r="K88" i="4" s="1"/>
  <c r="M88" i="4" s="1"/>
  <c r="H88" i="4"/>
  <c r="G88" i="4"/>
  <c r="C88" i="4"/>
  <c r="H87" i="4"/>
  <c r="J87" i="4" s="1"/>
  <c r="L87" i="4" s="1"/>
  <c r="G87" i="4"/>
  <c r="I87" i="4" s="1"/>
  <c r="K87" i="4" s="1"/>
  <c r="M87" i="4" s="1"/>
  <c r="C87" i="4"/>
  <c r="H86" i="4"/>
  <c r="J86" i="4" s="1"/>
  <c r="L86" i="4" s="1"/>
  <c r="G86" i="4"/>
  <c r="I86" i="4" s="1"/>
  <c r="K86" i="4" s="1"/>
  <c r="M86" i="4" s="1"/>
  <c r="C86" i="4"/>
  <c r="C89" i="4" s="1"/>
  <c r="K84" i="4"/>
  <c r="J84" i="4"/>
  <c r="L84" i="4" s="1"/>
  <c r="I84" i="4"/>
  <c r="H83" i="4"/>
  <c r="J83" i="4" s="1"/>
  <c r="L83" i="4" s="1"/>
  <c r="G83" i="4"/>
  <c r="I83" i="4" s="1"/>
  <c r="K83" i="4" s="1"/>
  <c r="M83" i="4" s="1"/>
  <c r="J82" i="4"/>
  <c r="L82" i="4" s="1"/>
  <c r="H82" i="4"/>
  <c r="G82" i="4"/>
  <c r="I82" i="4" s="1"/>
  <c r="K82" i="4" s="1"/>
  <c r="M82" i="4" s="1"/>
  <c r="H81" i="4"/>
  <c r="J81" i="4" s="1"/>
  <c r="L81" i="4" s="1"/>
  <c r="G81" i="4"/>
  <c r="I81" i="4" s="1"/>
  <c r="K81" i="4" s="1"/>
  <c r="M81" i="4" s="1"/>
  <c r="H79" i="4"/>
  <c r="J79" i="4" s="1"/>
  <c r="L79" i="4" s="1"/>
  <c r="G79" i="4"/>
  <c r="I79" i="4" s="1"/>
  <c r="K79" i="4" s="1"/>
  <c r="M79" i="4" s="1"/>
  <c r="I78" i="4"/>
  <c r="K78" i="4" s="1"/>
  <c r="H78" i="4"/>
  <c r="J78" i="4" s="1"/>
  <c r="L78" i="4" s="1"/>
  <c r="G78" i="4"/>
  <c r="H77" i="4"/>
  <c r="J77" i="4" s="1"/>
  <c r="L77" i="4" s="1"/>
  <c r="G77" i="4"/>
  <c r="I77" i="4" s="1"/>
  <c r="K77" i="4" s="1"/>
  <c r="M77" i="4" s="1"/>
  <c r="H75" i="4"/>
  <c r="J75" i="4" s="1"/>
  <c r="L75" i="4" s="1"/>
  <c r="G75" i="4"/>
  <c r="I75" i="4" s="1"/>
  <c r="K75" i="4" s="1"/>
  <c r="M75" i="4" s="1"/>
  <c r="J74" i="4"/>
  <c r="L74" i="4" s="1"/>
  <c r="I74" i="4"/>
  <c r="K74" i="4" s="1"/>
  <c r="M74" i="4" s="1"/>
  <c r="L73" i="4"/>
  <c r="K73" i="4"/>
  <c r="M73" i="4" s="1"/>
  <c r="J73" i="4"/>
  <c r="I73" i="4"/>
  <c r="H72" i="4"/>
  <c r="J72" i="4" s="1"/>
  <c r="L72" i="4" s="1"/>
  <c r="G72" i="4"/>
  <c r="I72" i="4" s="1"/>
  <c r="K72" i="4" s="1"/>
  <c r="M72" i="4" s="1"/>
  <c r="H71" i="4"/>
  <c r="J71" i="4" s="1"/>
  <c r="L71" i="4" s="1"/>
  <c r="G71" i="4"/>
  <c r="I71" i="4" s="1"/>
  <c r="K71" i="4" s="1"/>
  <c r="M71" i="4" s="1"/>
  <c r="H70" i="4"/>
  <c r="J70" i="4" s="1"/>
  <c r="L70" i="4" s="1"/>
  <c r="G70" i="4"/>
  <c r="I70" i="4" s="1"/>
  <c r="K70" i="4" s="1"/>
  <c r="M70" i="4" s="1"/>
  <c r="J69" i="4"/>
  <c r="L69" i="4" s="1"/>
  <c r="I69" i="4"/>
  <c r="K69" i="4" s="1"/>
  <c r="M69" i="4" s="1"/>
  <c r="J68" i="4"/>
  <c r="L68" i="4" s="1"/>
  <c r="I68" i="4"/>
  <c r="K68" i="4" s="1"/>
  <c r="M68" i="4" s="1"/>
  <c r="H67" i="4"/>
  <c r="J67" i="4" s="1"/>
  <c r="L67" i="4" s="1"/>
  <c r="G67" i="4"/>
  <c r="I67" i="4" s="1"/>
  <c r="K67" i="4" s="1"/>
  <c r="M67" i="4" s="1"/>
  <c r="H66" i="4"/>
  <c r="J66" i="4" s="1"/>
  <c r="L66" i="4" s="1"/>
  <c r="G66" i="4"/>
  <c r="I66" i="4" s="1"/>
  <c r="K66" i="4" s="1"/>
  <c r="M66" i="4" s="1"/>
  <c r="H65" i="4"/>
  <c r="J65" i="4" s="1"/>
  <c r="L65" i="4" s="1"/>
  <c r="G65" i="4"/>
  <c r="I65" i="4" s="1"/>
  <c r="K65" i="4" s="1"/>
  <c r="M65" i="4" s="1"/>
  <c r="I64" i="4"/>
  <c r="K64" i="4" s="1"/>
  <c r="H64" i="4"/>
  <c r="J64" i="4" s="1"/>
  <c r="L64" i="4" s="1"/>
  <c r="G64" i="4"/>
  <c r="H62" i="4"/>
  <c r="J62" i="4" s="1"/>
  <c r="L62" i="4" s="1"/>
  <c r="G62" i="4"/>
  <c r="I62" i="4" s="1"/>
  <c r="K62" i="4" s="1"/>
  <c r="M62" i="4" s="1"/>
  <c r="H61" i="4"/>
  <c r="J61" i="4" s="1"/>
  <c r="L61" i="4" s="1"/>
  <c r="G61" i="4"/>
  <c r="I61" i="4" s="1"/>
  <c r="K61" i="4" s="1"/>
  <c r="M61" i="4" s="1"/>
  <c r="H60" i="4"/>
  <c r="J60" i="4" s="1"/>
  <c r="L60" i="4" s="1"/>
  <c r="G60" i="4"/>
  <c r="I60" i="4" s="1"/>
  <c r="K60" i="4" s="1"/>
  <c r="M60" i="4" s="1"/>
  <c r="I59" i="4"/>
  <c r="K59" i="4" s="1"/>
  <c r="M59" i="4" s="1"/>
  <c r="H59" i="4"/>
  <c r="J59" i="4" s="1"/>
  <c r="L59" i="4" s="1"/>
  <c r="J58" i="4"/>
  <c r="L58" i="4" s="1"/>
  <c r="I58" i="4"/>
  <c r="K58" i="4" s="1"/>
  <c r="M58" i="4" s="1"/>
  <c r="L57" i="4"/>
  <c r="J57" i="4"/>
  <c r="I57" i="4"/>
  <c r="K57" i="4" s="1"/>
  <c r="M57" i="4" s="1"/>
  <c r="J56" i="4"/>
  <c r="L56" i="4" s="1"/>
  <c r="I56" i="4"/>
  <c r="K56" i="4" s="1"/>
  <c r="M56" i="4" s="1"/>
  <c r="J55" i="4"/>
  <c r="L55" i="4" s="1"/>
  <c r="H55" i="4"/>
  <c r="G55" i="4"/>
  <c r="I55" i="4" s="1"/>
  <c r="K55" i="4" s="1"/>
  <c r="M55" i="4" s="1"/>
  <c r="H54" i="4"/>
  <c r="J54" i="4" s="1"/>
  <c r="L54" i="4" s="1"/>
  <c r="G54" i="4"/>
  <c r="I54" i="4" s="1"/>
  <c r="K54" i="4" s="1"/>
  <c r="H53" i="4"/>
  <c r="J53" i="4" s="1"/>
  <c r="L53" i="4" s="1"/>
  <c r="G53" i="4"/>
  <c r="I53" i="4" s="1"/>
  <c r="K53" i="4" s="1"/>
  <c r="M53" i="4" s="1"/>
  <c r="H52" i="4"/>
  <c r="J52" i="4" s="1"/>
  <c r="L52" i="4" s="1"/>
  <c r="G52" i="4"/>
  <c r="I52" i="4" s="1"/>
  <c r="K52" i="4" s="1"/>
  <c r="M52" i="4" s="1"/>
  <c r="H51" i="4"/>
  <c r="J51" i="4" s="1"/>
  <c r="L51" i="4" s="1"/>
  <c r="G51" i="4"/>
  <c r="I51" i="4" s="1"/>
  <c r="K51" i="4" s="1"/>
  <c r="M51" i="4" s="1"/>
  <c r="K49" i="4"/>
  <c r="J49" i="4"/>
  <c r="L49" i="4" s="1"/>
  <c r="I49" i="4"/>
  <c r="H48" i="4"/>
  <c r="J48" i="4" s="1"/>
  <c r="L48" i="4" s="1"/>
  <c r="G48" i="4"/>
  <c r="I48" i="4" s="1"/>
  <c r="K48" i="4" s="1"/>
  <c r="M48" i="4" s="1"/>
  <c r="C48" i="4"/>
  <c r="H47" i="4"/>
  <c r="J47" i="4" s="1"/>
  <c r="L47" i="4" s="1"/>
  <c r="G47" i="4"/>
  <c r="I47" i="4" s="1"/>
  <c r="K47" i="4" s="1"/>
  <c r="M47" i="4" s="1"/>
  <c r="H46" i="4"/>
  <c r="J46" i="4" s="1"/>
  <c r="L46" i="4" s="1"/>
  <c r="G46" i="4"/>
  <c r="I46" i="4" s="1"/>
  <c r="K46" i="4" s="1"/>
  <c r="M46" i="4" s="1"/>
  <c r="H45" i="4"/>
  <c r="J45" i="4" s="1"/>
  <c r="L45" i="4" s="1"/>
  <c r="G45" i="4"/>
  <c r="I45" i="4" s="1"/>
  <c r="K45" i="4" s="1"/>
  <c r="M45" i="4" s="1"/>
  <c r="I44" i="4"/>
  <c r="K44" i="4" s="1"/>
  <c r="H44" i="4"/>
  <c r="J44" i="4" s="1"/>
  <c r="L44" i="4" s="1"/>
  <c r="G44" i="4"/>
  <c r="H42" i="4"/>
  <c r="J42" i="4" s="1"/>
  <c r="L42" i="4" s="1"/>
  <c r="G42" i="4"/>
  <c r="I42" i="4" s="1"/>
  <c r="K42" i="4" s="1"/>
  <c r="M42" i="4" s="1"/>
  <c r="H41" i="4"/>
  <c r="J41" i="4" s="1"/>
  <c r="L41" i="4" s="1"/>
  <c r="G41" i="4"/>
  <c r="I41" i="4" s="1"/>
  <c r="K41" i="4" s="1"/>
  <c r="M41" i="4" s="1"/>
  <c r="H40" i="4"/>
  <c r="J40" i="4" s="1"/>
  <c r="L40" i="4" s="1"/>
  <c r="G40" i="4"/>
  <c r="I40" i="4" s="1"/>
  <c r="K40" i="4" s="1"/>
  <c r="M40" i="4" s="1"/>
  <c r="H39" i="4"/>
  <c r="J39" i="4" s="1"/>
  <c r="L39" i="4" s="1"/>
  <c r="G39" i="4"/>
  <c r="I39" i="4" s="1"/>
  <c r="K39" i="4" s="1"/>
  <c r="M39" i="4" s="1"/>
  <c r="I38" i="4"/>
  <c r="K38" i="4" s="1"/>
  <c r="H38" i="4"/>
  <c r="J38" i="4" s="1"/>
  <c r="L38" i="4" s="1"/>
  <c r="G38" i="4"/>
  <c r="H37" i="4"/>
  <c r="J37" i="4" s="1"/>
  <c r="L37" i="4" s="1"/>
  <c r="G37" i="4"/>
  <c r="I37" i="4" s="1"/>
  <c r="K37" i="4" s="1"/>
  <c r="M37" i="4" s="1"/>
  <c r="L35" i="4"/>
  <c r="J35" i="4"/>
  <c r="G35" i="4"/>
  <c r="I35" i="4" s="1"/>
  <c r="K35" i="4" s="1"/>
  <c r="M35" i="4" s="1"/>
  <c r="J34" i="4"/>
  <c r="L34" i="4" s="1"/>
  <c r="G34" i="4"/>
  <c r="I34" i="4" s="1"/>
  <c r="K34" i="4" s="1"/>
  <c r="M34" i="4" s="1"/>
  <c r="H33" i="4"/>
  <c r="J33" i="4" s="1"/>
  <c r="L33" i="4" s="1"/>
  <c r="G33" i="4"/>
  <c r="I33" i="4" s="1"/>
  <c r="K33" i="4" s="1"/>
  <c r="M33" i="4" s="1"/>
  <c r="J32" i="4"/>
  <c r="L32" i="4" s="1"/>
  <c r="I32" i="4"/>
  <c r="K32" i="4" s="1"/>
  <c r="M32" i="4" s="1"/>
  <c r="M31" i="4" s="1"/>
  <c r="H30" i="4"/>
  <c r="J30" i="4" s="1"/>
  <c r="L30" i="4" s="1"/>
  <c r="G30" i="4"/>
  <c r="I30" i="4" s="1"/>
  <c r="K30" i="4" s="1"/>
  <c r="M30" i="4" s="1"/>
  <c r="H29" i="4"/>
  <c r="J29" i="4" s="1"/>
  <c r="L29" i="4" s="1"/>
  <c r="G29" i="4"/>
  <c r="I29" i="4" s="1"/>
  <c r="K29" i="4" s="1"/>
  <c r="M29" i="4" s="1"/>
  <c r="H28" i="4"/>
  <c r="J28" i="4" s="1"/>
  <c r="L28" i="4" s="1"/>
  <c r="G28" i="4"/>
  <c r="I28" i="4" s="1"/>
  <c r="K28" i="4" s="1"/>
  <c r="M28" i="4" s="1"/>
  <c r="J27" i="4"/>
  <c r="L27" i="4" s="1"/>
  <c r="I27" i="4"/>
  <c r="K27" i="4" s="1"/>
  <c r="M27" i="4" s="1"/>
  <c r="H27" i="4"/>
  <c r="G27" i="4"/>
  <c r="H26" i="4"/>
  <c r="J26" i="4" s="1"/>
  <c r="L26" i="4" s="1"/>
  <c r="G26" i="4"/>
  <c r="I26" i="4" s="1"/>
  <c r="K26" i="4" s="1"/>
  <c r="M26" i="4" s="1"/>
  <c r="H24" i="4"/>
  <c r="J24" i="4" s="1"/>
  <c r="L24" i="4" s="1"/>
  <c r="G24" i="4"/>
  <c r="I24" i="4" s="1"/>
  <c r="K24" i="4" s="1"/>
  <c r="M24" i="4" s="1"/>
  <c r="H23" i="4"/>
  <c r="J23" i="4" s="1"/>
  <c r="L23" i="4" s="1"/>
  <c r="G23" i="4"/>
  <c r="I23" i="4" s="1"/>
  <c r="K23" i="4" s="1"/>
  <c r="M23" i="4" s="1"/>
  <c r="H22" i="4"/>
  <c r="J22" i="4" s="1"/>
  <c r="L22" i="4" s="1"/>
  <c r="G22" i="4"/>
  <c r="I22" i="4" s="1"/>
  <c r="K22" i="4" s="1"/>
  <c r="M22" i="4" s="1"/>
  <c r="J21" i="4"/>
  <c r="L21" i="4" s="1"/>
  <c r="I21" i="4"/>
  <c r="K21" i="4" s="1"/>
  <c r="M21" i="4" s="1"/>
  <c r="H21" i="4"/>
  <c r="G21" i="4"/>
  <c r="H20" i="4"/>
  <c r="J20" i="4" s="1"/>
  <c r="L20" i="4" s="1"/>
  <c r="G20" i="4"/>
  <c r="I20" i="4" s="1"/>
  <c r="K20" i="4" s="1"/>
  <c r="M20" i="4" s="1"/>
  <c r="C20" i="4"/>
  <c r="H19" i="4"/>
  <c r="J19" i="4" s="1"/>
  <c r="L19" i="4" s="1"/>
  <c r="G19" i="4"/>
  <c r="I19" i="4" s="1"/>
  <c r="K19" i="4" s="1"/>
  <c r="M19" i="4" s="1"/>
  <c r="I17" i="4"/>
  <c r="K17" i="4" s="1"/>
  <c r="M17" i="4" s="1"/>
  <c r="H17" i="4"/>
  <c r="J17" i="4" s="1"/>
  <c r="L17" i="4" s="1"/>
  <c r="G17" i="4"/>
  <c r="H16" i="4"/>
  <c r="J16" i="4" s="1"/>
  <c r="L16" i="4" s="1"/>
  <c r="G16" i="4"/>
  <c r="I16" i="4" s="1"/>
  <c r="K16" i="4" s="1"/>
  <c r="M16" i="4" s="1"/>
  <c r="J15" i="4"/>
  <c r="L15" i="4" s="1"/>
  <c r="H15" i="4"/>
  <c r="G15" i="4"/>
  <c r="I15" i="4" s="1"/>
  <c r="K15" i="4" s="1"/>
  <c r="M15" i="4" s="1"/>
  <c r="H14" i="4"/>
  <c r="J14" i="4" s="1"/>
  <c r="L14" i="4" s="1"/>
  <c r="G14" i="4"/>
  <c r="I14" i="4" s="1"/>
  <c r="K14" i="4" s="1"/>
  <c r="M14" i="4" s="1"/>
  <c r="H13" i="4"/>
  <c r="J13" i="4" s="1"/>
  <c r="L13" i="4" s="1"/>
  <c r="G13" i="4"/>
  <c r="I13" i="4" s="1"/>
  <c r="K13" i="4" s="1"/>
  <c r="M13" i="4" s="1"/>
  <c r="H12" i="4"/>
  <c r="J12" i="4" s="1"/>
  <c r="L12" i="4" s="1"/>
  <c r="G12" i="4"/>
  <c r="I12" i="4" s="1"/>
  <c r="K12" i="4" s="1"/>
  <c r="I11" i="4"/>
  <c r="K11" i="4" s="1"/>
  <c r="H11" i="4"/>
  <c r="J11" i="4" s="1"/>
  <c r="L11" i="4" s="1"/>
  <c r="C11" i="4"/>
  <c r="J9" i="4"/>
  <c r="L9" i="4" s="1"/>
  <c r="H9" i="4"/>
  <c r="G9" i="4"/>
  <c r="I9" i="4" s="1"/>
  <c r="K9" i="4" s="1"/>
  <c r="M9" i="4" s="1"/>
  <c r="M8" i="4" s="1"/>
  <c r="B13" i="2"/>
  <c r="B12" i="2"/>
  <c r="B11" i="2"/>
  <c r="B10" i="2"/>
  <c r="B9" i="2"/>
  <c r="B8" i="2"/>
  <c r="C86" i="1" l="1"/>
  <c r="M78" i="4"/>
  <c r="M44" i="4"/>
  <c r="M49" i="4"/>
  <c r="M18" i="4"/>
  <c r="M25" i="4"/>
  <c r="M38" i="4"/>
  <c r="M36" i="4" s="1"/>
  <c r="M64" i="4"/>
  <c r="M63" i="4" s="1"/>
  <c r="M84" i="4"/>
  <c r="M80" i="4" s="1"/>
  <c r="M85" i="4"/>
  <c r="M11" i="4"/>
  <c r="M10" i="4" s="1"/>
  <c r="M76" i="4"/>
  <c r="M12" i="4"/>
  <c r="M54" i="4"/>
  <c r="M50" i="4" s="1"/>
  <c r="I83" i="1"/>
  <c r="J83" i="1"/>
  <c r="I67" i="1"/>
  <c r="J67" i="1"/>
  <c r="I68" i="1"/>
  <c r="J68" i="1"/>
  <c r="I72" i="1"/>
  <c r="J72" i="1"/>
  <c r="I73" i="1"/>
  <c r="J73" i="1"/>
  <c r="I55" i="1"/>
  <c r="J55" i="1"/>
  <c r="I56" i="1"/>
  <c r="J56" i="1"/>
  <c r="I57" i="1"/>
  <c r="J57" i="1"/>
  <c r="I58" i="1"/>
  <c r="I48" i="1"/>
  <c r="J48" i="1"/>
  <c r="J34" i="1"/>
  <c r="J35" i="1"/>
  <c r="J32" i="1"/>
  <c r="I32" i="1"/>
  <c r="J11" i="1"/>
  <c r="I11" i="1"/>
  <c r="H11" i="1"/>
  <c r="M43" i="4" l="1"/>
  <c r="K93" i="4" s="1"/>
  <c r="H91" i="1"/>
  <c r="J91" i="1" s="1"/>
  <c r="G91" i="1"/>
  <c r="I91" i="1" s="1"/>
  <c r="H90" i="1"/>
  <c r="J90" i="1" s="1"/>
  <c r="G90" i="1"/>
  <c r="I90" i="1" s="1"/>
  <c r="K90" i="1" s="1"/>
  <c r="H89" i="1"/>
  <c r="J89" i="1" s="1"/>
  <c r="G89" i="1"/>
  <c r="I89" i="1" s="1"/>
  <c r="H88" i="1"/>
  <c r="J88" i="1" s="1"/>
  <c r="G88" i="1"/>
  <c r="I88" i="1" s="1"/>
  <c r="K88" i="1" s="1"/>
  <c r="H87" i="1"/>
  <c r="J87" i="1" s="1"/>
  <c r="L87" i="1" s="1"/>
  <c r="G87" i="1"/>
  <c r="I87" i="1" s="1"/>
  <c r="K87" i="1" s="1"/>
  <c r="H86" i="1"/>
  <c r="J86" i="1" s="1"/>
  <c r="L86" i="1" s="1"/>
  <c r="M86" i="1" s="1"/>
  <c r="G86" i="1"/>
  <c r="I86" i="1" s="1"/>
  <c r="H85" i="1"/>
  <c r="J85" i="1" s="1"/>
  <c r="G85" i="1"/>
  <c r="I85" i="1" s="1"/>
  <c r="K86" i="1"/>
  <c r="L88" i="1"/>
  <c r="L89" i="1"/>
  <c r="K89" i="1"/>
  <c r="L90" i="1"/>
  <c r="L91" i="1"/>
  <c r="K91" i="1"/>
  <c r="L85" i="1"/>
  <c r="K85" i="1"/>
  <c r="H82" i="1"/>
  <c r="J82" i="1" s="1"/>
  <c r="L82" i="1" s="1"/>
  <c r="G82" i="1"/>
  <c r="I82" i="1" s="1"/>
  <c r="K82" i="1" s="1"/>
  <c r="H81" i="1"/>
  <c r="J81" i="1" s="1"/>
  <c r="L81" i="1" s="1"/>
  <c r="G81" i="1"/>
  <c r="I81" i="1" s="1"/>
  <c r="K81" i="1" s="1"/>
  <c r="H80" i="1"/>
  <c r="G80" i="1"/>
  <c r="I80" i="1" s="1"/>
  <c r="K80" i="1" s="1"/>
  <c r="G78" i="1"/>
  <c r="I78" i="1" s="1"/>
  <c r="K78" i="1" s="1"/>
  <c r="K83" i="1"/>
  <c r="L83" i="1"/>
  <c r="H78" i="1"/>
  <c r="J78" i="1" s="1"/>
  <c r="K77" i="1"/>
  <c r="L77" i="1"/>
  <c r="L78" i="1"/>
  <c r="H77" i="1"/>
  <c r="J77" i="1" s="1"/>
  <c r="G77" i="1"/>
  <c r="I77" i="1" s="1"/>
  <c r="H76" i="1"/>
  <c r="J76" i="1" s="1"/>
  <c r="L76" i="1" s="1"/>
  <c r="G76" i="1"/>
  <c r="I76" i="1" s="1"/>
  <c r="K76" i="1" s="1"/>
  <c r="K65" i="1"/>
  <c r="L65" i="1"/>
  <c r="M65" i="1" s="1"/>
  <c r="K66" i="1"/>
  <c r="L66" i="1"/>
  <c r="K67" i="1"/>
  <c r="L67" i="1"/>
  <c r="K68" i="1"/>
  <c r="L68" i="1"/>
  <c r="K69" i="1"/>
  <c r="L69" i="1"/>
  <c r="K70" i="1"/>
  <c r="L71" i="1"/>
  <c r="K72" i="1"/>
  <c r="L72" i="1"/>
  <c r="L73" i="1"/>
  <c r="K73" i="1"/>
  <c r="H74" i="1"/>
  <c r="J74" i="1" s="1"/>
  <c r="L74" i="1" s="1"/>
  <c r="G74" i="1"/>
  <c r="I74" i="1" s="1"/>
  <c r="K74" i="1" s="1"/>
  <c r="H71" i="1"/>
  <c r="J71" i="1" s="1"/>
  <c r="G71" i="1"/>
  <c r="I71" i="1" s="1"/>
  <c r="K71" i="1" s="1"/>
  <c r="H70" i="1"/>
  <c r="J70" i="1" s="1"/>
  <c r="L70" i="1" s="1"/>
  <c r="G70" i="1"/>
  <c r="I70" i="1" s="1"/>
  <c r="H69" i="1"/>
  <c r="J69" i="1" s="1"/>
  <c r="G69" i="1"/>
  <c r="I69" i="1" s="1"/>
  <c r="H66" i="1"/>
  <c r="J66" i="1" s="1"/>
  <c r="G66" i="1"/>
  <c r="I66" i="1" s="1"/>
  <c r="H65" i="1"/>
  <c r="J65" i="1" s="1"/>
  <c r="G65" i="1"/>
  <c r="I65" i="1" s="1"/>
  <c r="H64" i="1"/>
  <c r="J64" i="1" s="1"/>
  <c r="L64" i="1" s="1"/>
  <c r="G64" i="1"/>
  <c r="I64" i="1" s="1"/>
  <c r="K64" i="1" s="1"/>
  <c r="H63" i="1"/>
  <c r="J63" i="1" s="1"/>
  <c r="L63" i="1" s="1"/>
  <c r="G63" i="1"/>
  <c r="I63" i="1" s="1"/>
  <c r="K63" i="1" s="1"/>
  <c r="H61" i="1"/>
  <c r="J61" i="1" s="1"/>
  <c r="L61" i="1" s="1"/>
  <c r="G61" i="1"/>
  <c r="I61" i="1" s="1"/>
  <c r="H60" i="1"/>
  <c r="J60" i="1" s="1"/>
  <c r="G60" i="1"/>
  <c r="I60" i="1" s="1"/>
  <c r="H59" i="1"/>
  <c r="J59" i="1" s="1"/>
  <c r="G59" i="1"/>
  <c r="I59" i="1" s="1"/>
  <c r="H58" i="1"/>
  <c r="J58" i="1" s="1"/>
  <c r="H54" i="1"/>
  <c r="J54" i="1" s="1"/>
  <c r="G54" i="1"/>
  <c r="I54" i="1" s="1"/>
  <c r="H53" i="1"/>
  <c r="J53" i="1" s="1"/>
  <c r="L53" i="1" s="1"/>
  <c r="G53" i="1"/>
  <c r="I53" i="1" s="1"/>
  <c r="K53" i="1" s="1"/>
  <c r="H52" i="1"/>
  <c r="J52" i="1" s="1"/>
  <c r="L52" i="1" s="1"/>
  <c r="G52" i="1"/>
  <c r="I52" i="1" s="1"/>
  <c r="K52" i="1" s="1"/>
  <c r="G50" i="1"/>
  <c r="I50" i="1" s="1"/>
  <c r="H50" i="1"/>
  <c r="J50" i="1" s="1"/>
  <c r="L54" i="1"/>
  <c r="K54" i="1"/>
  <c r="K55" i="1"/>
  <c r="L55" i="1"/>
  <c r="K56" i="1"/>
  <c r="L56" i="1"/>
  <c r="M56" i="1"/>
  <c r="K57" i="1"/>
  <c r="L57" i="1"/>
  <c r="K58" i="1"/>
  <c r="L58" i="1"/>
  <c r="L59" i="1"/>
  <c r="K59" i="1"/>
  <c r="K60" i="1"/>
  <c r="L60" i="1"/>
  <c r="K61" i="1"/>
  <c r="K50" i="1"/>
  <c r="L50" i="1"/>
  <c r="H51" i="1"/>
  <c r="J51" i="1" s="1"/>
  <c r="L51" i="1" s="1"/>
  <c r="G51" i="1"/>
  <c r="I51" i="1" s="1"/>
  <c r="K51" i="1" s="1"/>
  <c r="H47" i="1"/>
  <c r="J47" i="1" s="1"/>
  <c r="G47" i="1"/>
  <c r="I47" i="1" s="1"/>
  <c r="H46" i="1"/>
  <c r="J46" i="1" s="1"/>
  <c r="G46" i="1"/>
  <c r="I46" i="1" s="1"/>
  <c r="K46" i="1" s="1"/>
  <c r="H45" i="1"/>
  <c r="J45" i="1" s="1"/>
  <c r="L45" i="1" s="1"/>
  <c r="G45" i="1"/>
  <c r="I45" i="1" s="1"/>
  <c r="K45" i="1" s="1"/>
  <c r="H44" i="1"/>
  <c r="J44" i="1" s="1"/>
  <c r="L44" i="1" s="1"/>
  <c r="G44" i="1"/>
  <c r="I44" i="1" s="1"/>
  <c r="H43" i="1"/>
  <c r="J43" i="1" s="1"/>
  <c r="G43" i="1"/>
  <c r="I43" i="1" s="1"/>
  <c r="K43" i="1" s="1"/>
  <c r="K44" i="1"/>
  <c r="L46" i="1"/>
  <c r="K48" i="1"/>
  <c r="L48" i="1"/>
  <c r="L43" i="1"/>
  <c r="H41" i="1"/>
  <c r="G41" i="1"/>
  <c r="H40" i="1"/>
  <c r="G40" i="1"/>
  <c r="H39" i="1"/>
  <c r="G39" i="1"/>
  <c r="H38" i="1"/>
  <c r="G38" i="1"/>
  <c r="H37" i="1"/>
  <c r="G37" i="1"/>
  <c r="G35" i="1"/>
  <c r="G34" i="1"/>
  <c r="H33" i="1"/>
  <c r="G33" i="1"/>
  <c r="L34" i="1"/>
  <c r="L35" i="1"/>
  <c r="L32" i="1"/>
  <c r="K32" i="1"/>
  <c r="M32" i="1" s="1"/>
  <c r="H30" i="1"/>
  <c r="G30" i="1"/>
  <c r="H29" i="1"/>
  <c r="G29" i="1"/>
  <c r="H28" i="1"/>
  <c r="G28" i="1"/>
  <c r="H27" i="1"/>
  <c r="G27" i="1"/>
  <c r="H26" i="1"/>
  <c r="G26" i="1"/>
  <c r="H24" i="1"/>
  <c r="G24" i="1"/>
  <c r="H23" i="1"/>
  <c r="G23" i="1"/>
  <c r="H22" i="1"/>
  <c r="G22" i="1"/>
  <c r="H21" i="1"/>
  <c r="G21" i="1"/>
  <c r="H20" i="1"/>
  <c r="J20" i="1" s="1"/>
  <c r="G20" i="1"/>
  <c r="I20" i="1" s="1"/>
  <c r="H19" i="1"/>
  <c r="G19" i="1"/>
  <c r="H17" i="1"/>
  <c r="J17" i="1" s="1"/>
  <c r="G17" i="1"/>
  <c r="I17" i="1" s="1"/>
  <c r="H16" i="1"/>
  <c r="J16" i="1" s="1"/>
  <c r="G16" i="1"/>
  <c r="I16" i="1" s="1"/>
  <c r="H15" i="1"/>
  <c r="J15" i="1" s="1"/>
  <c r="G15" i="1"/>
  <c r="I15" i="1" s="1"/>
  <c r="H14" i="1"/>
  <c r="J14" i="1" s="1"/>
  <c r="G14" i="1"/>
  <c r="I14" i="1" s="1"/>
  <c r="H13" i="1"/>
  <c r="J13" i="1" s="1"/>
  <c r="G13" i="1"/>
  <c r="I13" i="1" s="1"/>
  <c r="H12" i="1"/>
  <c r="J12" i="1" s="1"/>
  <c r="G12" i="1"/>
  <c r="I12" i="1" s="1"/>
  <c r="M72" i="1" l="1"/>
  <c r="M71" i="1"/>
  <c r="M70" i="1"/>
  <c r="M61" i="1"/>
  <c r="M74" i="1"/>
  <c r="M81" i="1"/>
  <c r="M63" i="1"/>
  <c r="I38" i="1"/>
  <c r="K38" i="1" s="1"/>
  <c r="M38" i="1" s="1"/>
  <c r="I35" i="1"/>
  <c r="K35" i="1" s="1"/>
  <c r="M35" i="1" s="1"/>
  <c r="I22" i="1"/>
  <c r="K22" i="1" s="1"/>
  <c r="J22" i="1"/>
  <c r="L22" i="1" s="1"/>
  <c r="L80" i="1"/>
  <c r="J80" i="1"/>
  <c r="L39" i="1"/>
  <c r="J39" i="1"/>
  <c r="J28" i="1"/>
  <c r="L28" i="1" s="1"/>
  <c r="M28" i="1" s="1"/>
  <c r="J37" i="1"/>
  <c r="L37" i="1" s="1"/>
  <c r="I23" i="1"/>
  <c r="K23" i="1" s="1"/>
  <c r="J30" i="1"/>
  <c r="L30" i="1" s="1"/>
  <c r="K24" i="1"/>
  <c r="M24" i="1" s="1"/>
  <c r="I24" i="1"/>
  <c r="K19" i="1"/>
  <c r="M19" i="1" s="1"/>
  <c r="I19" i="1"/>
  <c r="I40" i="1"/>
  <c r="K40" i="1" s="1"/>
  <c r="M40" i="1" s="1"/>
  <c r="M69" i="1"/>
  <c r="M55" i="1"/>
  <c r="J29" i="1"/>
  <c r="L29" i="1" s="1"/>
  <c r="J23" i="1"/>
  <c r="L23" i="1" s="1"/>
  <c r="L19" i="1"/>
  <c r="J19" i="1"/>
  <c r="L38" i="1"/>
  <c r="J38" i="1"/>
  <c r="J40" i="1"/>
  <c r="L40" i="1" s="1"/>
  <c r="I33" i="1"/>
  <c r="K33" i="1" s="1"/>
  <c r="I37" i="1"/>
  <c r="K37" i="1" s="1"/>
  <c r="M37" i="1" s="1"/>
  <c r="J26" i="1"/>
  <c r="L26" i="1" s="1"/>
  <c r="L27" i="1"/>
  <c r="J27" i="1"/>
  <c r="L33" i="1"/>
  <c r="J33" i="1"/>
  <c r="J41" i="1"/>
  <c r="L41" i="1" s="1"/>
  <c r="J21" i="1"/>
  <c r="L21" i="1" s="1"/>
  <c r="I29" i="1"/>
  <c r="K29" i="1" s="1"/>
  <c r="I30" i="1"/>
  <c r="K30" i="1" s="1"/>
  <c r="M30" i="1" s="1"/>
  <c r="K39" i="1"/>
  <c r="M39" i="1" s="1"/>
  <c r="I39" i="1"/>
  <c r="L24" i="1"/>
  <c r="J24" i="1"/>
  <c r="I26" i="1"/>
  <c r="K26" i="1" s="1"/>
  <c r="I27" i="1"/>
  <c r="K27" i="1" s="1"/>
  <c r="M27" i="1" s="1"/>
  <c r="I41" i="1"/>
  <c r="K41" i="1" s="1"/>
  <c r="I21" i="1"/>
  <c r="K21" i="1" s="1"/>
  <c r="K28" i="1"/>
  <c r="I28" i="1"/>
  <c r="K34" i="1"/>
  <c r="I34" i="1"/>
  <c r="M87" i="1"/>
  <c r="M82" i="1"/>
  <c r="M77" i="1"/>
  <c r="M76" i="1"/>
  <c r="M67" i="1"/>
  <c r="M64" i="1"/>
  <c r="M57" i="1"/>
  <c r="M78" i="1"/>
  <c r="M68" i="1"/>
  <c r="M58" i="1"/>
  <c r="M43" i="1"/>
  <c r="M48" i="1"/>
  <c r="M91" i="1"/>
  <c r="M90" i="1"/>
  <c r="M89" i="1"/>
  <c r="M88" i="1"/>
  <c r="M85" i="1"/>
  <c r="M83" i="1"/>
  <c r="M80" i="1"/>
  <c r="M66" i="1"/>
  <c r="M73" i="1"/>
  <c r="M59" i="1"/>
  <c r="M54" i="1"/>
  <c r="M53" i="1"/>
  <c r="M60" i="1"/>
  <c r="M50" i="1"/>
  <c r="M45" i="1"/>
  <c r="M34" i="1"/>
  <c r="M44" i="1"/>
  <c r="M46" i="1"/>
  <c r="L20" i="1"/>
  <c r="K20" i="1"/>
  <c r="M36" i="1" l="1"/>
  <c r="M33" i="1"/>
  <c r="M21" i="1"/>
  <c r="M20" i="1"/>
  <c r="M22" i="1"/>
  <c r="M29" i="1"/>
  <c r="M25" i="1" s="1"/>
  <c r="D9" i="2" s="1"/>
  <c r="M23" i="1"/>
  <c r="M49" i="1"/>
  <c r="D13" i="2" s="1"/>
  <c r="M84" i="1"/>
  <c r="D17" i="2" s="1"/>
  <c r="M79" i="1"/>
  <c r="D16" i="2" s="1"/>
  <c r="M75" i="1"/>
  <c r="D15" i="2" s="1"/>
  <c r="M62" i="1"/>
  <c r="D14" i="2" s="1"/>
  <c r="D11" i="2"/>
  <c r="M31" i="1"/>
  <c r="D10" i="2" s="1"/>
  <c r="K12" i="1"/>
  <c r="L12" i="1"/>
  <c r="K13" i="1"/>
  <c r="L13" i="1"/>
  <c r="K14" i="1"/>
  <c r="L14" i="1"/>
  <c r="K15" i="1"/>
  <c r="L15" i="1"/>
  <c r="L16" i="1"/>
  <c r="K16" i="1"/>
  <c r="K17" i="1"/>
  <c r="L17" i="1"/>
  <c r="L11" i="1"/>
  <c r="K11" i="1"/>
  <c r="H9" i="1"/>
  <c r="G9" i="1"/>
  <c r="M18" i="1" l="1"/>
  <c r="D8" i="2" s="1"/>
  <c r="N11" i="2"/>
  <c r="P11" i="2"/>
  <c r="H11" i="2"/>
  <c r="J11" i="2"/>
  <c r="L11" i="2"/>
  <c r="N14" i="2"/>
  <c r="P14" i="2"/>
  <c r="L14" i="2"/>
  <c r="H14" i="2"/>
  <c r="J14" i="2"/>
  <c r="N16" i="2"/>
  <c r="P16" i="2"/>
  <c r="L16" i="2"/>
  <c r="H16" i="2"/>
  <c r="J16" i="2"/>
  <c r="N13" i="2"/>
  <c r="P13" i="2"/>
  <c r="H13" i="2"/>
  <c r="J13" i="2"/>
  <c r="L13" i="2"/>
  <c r="N15" i="2"/>
  <c r="P15" i="2"/>
  <c r="L15" i="2"/>
  <c r="H15" i="2"/>
  <c r="J15" i="2"/>
  <c r="I9" i="1"/>
  <c r="K9" i="1" s="1"/>
  <c r="P8" i="2"/>
  <c r="N8" i="2"/>
  <c r="J8" i="2"/>
  <c r="L8" i="2"/>
  <c r="H8" i="2"/>
  <c r="N17" i="2"/>
  <c r="P17" i="2"/>
  <c r="L17" i="2"/>
  <c r="H17" i="2"/>
  <c r="J17" i="2"/>
  <c r="J9" i="1"/>
  <c r="L9" i="1" s="1"/>
  <c r="N10" i="2"/>
  <c r="P10" i="2"/>
  <c r="J10" i="2"/>
  <c r="H10" i="2"/>
  <c r="L10" i="2"/>
  <c r="N9" i="2"/>
  <c r="P9" i="2"/>
  <c r="H9" i="2"/>
  <c r="J9" i="2"/>
  <c r="L9" i="2"/>
  <c r="M15" i="1"/>
  <c r="M17" i="1"/>
  <c r="M13" i="1"/>
  <c r="M12" i="1"/>
  <c r="M11" i="1"/>
  <c r="M14" i="1"/>
  <c r="D6" i="2" l="1"/>
  <c r="M8" i="1"/>
  <c r="M10" i="1"/>
  <c r="B6" i="2"/>
  <c r="B7" i="2"/>
  <c r="D7" i="2" l="1"/>
  <c r="P7" i="2"/>
  <c r="N7" i="2"/>
  <c r="J7" i="2"/>
  <c r="L7" i="2"/>
  <c r="H7" i="2"/>
  <c r="N6" i="2"/>
  <c r="P6" i="2"/>
  <c r="L6" i="2"/>
  <c r="J6" i="2"/>
  <c r="H6" i="2"/>
  <c r="F6" i="2"/>
  <c r="L47" i="1"/>
  <c r="K47" i="1"/>
  <c r="M42" i="1" l="1"/>
  <c r="D12" i="2"/>
  <c r="F17" i="2"/>
  <c r="F11" i="2"/>
  <c r="F16" i="2"/>
  <c r="F10" i="2"/>
  <c r="N12" i="2" l="1"/>
  <c r="P12" i="2"/>
  <c r="P18" i="2" s="1"/>
  <c r="L12" i="2"/>
  <c r="L18" i="2" s="1"/>
  <c r="H12" i="2"/>
  <c r="J12" i="2"/>
  <c r="F12" i="2"/>
  <c r="F13" i="2"/>
  <c r="F14" i="2"/>
  <c r="F15" i="2"/>
  <c r="F8" i="2" l="1"/>
  <c r="F7" i="2" l="1"/>
  <c r="F9" i="2" l="1"/>
  <c r="F18" i="2" l="1"/>
  <c r="F19" i="2" s="1"/>
  <c r="H19" i="2" s="1"/>
  <c r="J19" i="2" s="1"/>
  <c r="N18" i="2"/>
  <c r="C13" i="2"/>
  <c r="C6" i="2"/>
  <c r="C12" i="2"/>
  <c r="C10" i="2"/>
  <c r="C14" i="2"/>
  <c r="C15" i="2"/>
  <c r="C11" i="2"/>
  <c r="C16" i="2"/>
  <c r="C17" i="2"/>
  <c r="C8" i="2"/>
  <c r="C9" i="2"/>
  <c r="C7" i="2"/>
  <c r="L19" i="2" l="1"/>
  <c r="N19" i="2" s="1"/>
  <c r="P19" i="2" s="1"/>
</calcChain>
</file>

<file path=xl/sharedStrings.xml><?xml version="1.0" encoding="utf-8"?>
<sst xmlns="http://schemas.openxmlformats.org/spreadsheetml/2006/main" count="686" uniqueCount="205">
  <si>
    <t>M²</t>
  </si>
  <si>
    <t>SINAPI</t>
  </si>
  <si>
    <t>Item</t>
  </si>
  <si>
    <t>Discriminação</t>
  </si>
  <si>
    <t>Quant.</t>
  </si>
  <si>
    <t>Unid</t>
  </si>
  <si>
    <t>Fonte</t>
  </si>
  <si>
    <t>Código</t>
  </si>
  <si>
    <t>R$ Mat</t>
  </si>
  <si>
    <t>Total MDO</t>
  </si>
  <si>
    <t>Total BDI</t>
  </si>
  <si>
    <t>1.1</t>
  </si>
  <si>
    <t>TOTAL</t>
  </si>
  <si>
    <t>PLANILHA ORÇAMENTÁRIA - GLOBAL</t>
  </si>
  <si>
    <t>Proprietário: Prefeitura Municipal de Charrua</t>
  </si>
  <si>
    <t>_____________________________________</t>
  </si>
  <si>
    <t>Discriminação dos serviços</t>
  </si>
  <si>
    <t>Peso</t>
  </si>
  <si>
    <t>(%)</t>
  </si>
  <si>
    <t>Valor dos</t>
  </si>
  <si>
    <t>serviços</t>
  </si>
  <si>
    <t>Meses</t>
  </si>
  <si>
    <t>Mês 1</t>
  </si>
  <si>
    <t>%</t>
  </si>
  <si>
    <t>R$</t>
  </si>
  <si>
    <t>ACUMULADO</t>
  </si>
  <si>
    <t>CRONOGRAMA FÍSICO FINANCEIRO</t>
  </si>
  <si>
    <t xml:space="preserve">Arqª Natália Lindner </t>
  </si>
  <si>
    <t>CAU/RS A195299-4</t>
  </si>
  <si>
    <t>M</t>
  </si>
  <si>
    <t>4.1</t>
  </si>
  <si>
    <t>4.2</t>
  </si>
  <si>
    <t>3.1</t>
  </si>
  <si>
    <t>2.1</t>
  </si>
  <si>
    <t>2.2</t>
  </si>
  <si>
    <t>2.3</t>
  </si>
  <si>
    <t>5.1</t>
  </si>
  <si>
    <t>UN</t>
  </si>
  <si>
    <t>2.4</t>
  </si>
  <si>
    <t>2.5</t>
  </si>
  <si>
    <t>7.1</t>
  </si>
  <si>
    <t>6.1</t>
  </si>
  <si>
    <t>Endereço: -</t>
  </si>
  <si>
    <t>SERVIÇOS PRELIMINARES</t>
  </si>
  <si>
    <t xml:space="preserve">PAVIMENTAÇÃO </t>
  </si>
  <si>
    <t>4.3</t>
  </si>
  <si>
    <t xml:space="preserve">INSTALAÇÕES HIDRÁULICAS </t>
  </si>
  <si>
    <t>9.1</t>
  </si>
  <si>
    <t xml:space="preserve">INSTALAÇÕES SANITÁRIAS </t>
  </si>
  <si>
    <t>10.1</t>
  </si>
  <si>
    <t>11.1</t>
  </si>
  <si>
    <t>11.2</t>
  </si>
  <si>
    <t>12.1</t>
  </si>
  <si>
    <t>12.2</t>
  </si>
  <si>
    <t>INSTALAÇÕES ELÉTRICAS</t>
  </si>
  <si>
    <t>LOCACAO CONVENCIONAL DE OBRA, UTILIZANDO GABARITO DE TÁBUAS CORRIDAS PONTALETADAS A CADA 2,00M -  2 UTILIZAÇÕES. AF_10/2018</t>
  </si>
  <si>
    <t>CHUVEIRO ELÉTRICO COMUM CORPO PLÁSTICO, TIPO DUCHA  FORNECIMENTO E INSTALAÇÃO. AF_01/2020</t>
  </si>
  <si>
    <t>SUPRAESTRUTURA</t>
  </si>
  <si>
    <t xml:space="preserve">ESQUADRIAS </t>
  </si>
  <si>
    <t>COBERTURA</t>
  </si>
  <si>
    <t xml:space="preserve">ACESSÓRIOS E APARELHOS </t>
  </si>
  <si>
    <t>LAVATÓRIO LOUÇA BRANCA COM COLUNA, *44 X 35,5* CM, PADRÃO POPULAR - FORNECIMENTO E INSTALAÇÃO. AF_01/2020</t>
  </si>
  <si>
    <t>VASO SANITÁRIO SIFONADO COM CAIXA ACOPLADA LOUÇA BRANCA - FORNECIMENTO E INSTALAÇÃO. AF_01/2020</t>
  </si>
  <si>
    <t>KIT DE ACESSORIOS PARA BANHEIRO EM METAL CROMADO, 5 PECAS</t>
  </si>
  <si>
    <t>7.3</t>
  </si>
  <si>
    <t>7.4</t>
  </si>
  <si>
    <t>7.5</t>
  </si>
  <si>
    <t>JANELA BASCULANTE, EM ALUMINIO PERFIL 20, 80 X 60 CM (A X L), 4 FLS (1 FIXA E 3 MOVEIS), ACABAMENTO BRANCO OU BRILHANTE, BATENTE DE 3 A 4 CM, COM VIDRO 4 MM, SEM GUARNICAO</t>
  </si>
  <si>
    <t>JANELA DE ALUMÍNIO DE CORRER COM 2 FOLHAS PARA VIDROS, COM VIDROS, BATENTE, ACABAMENTO COM ACETATO OU BRILHANTE E FERRAGENS. EXCLUSIVE ALIZAR E CONTRAMARCO. FORNECIMENTO E INSTALAÇÃO. AF_12/2019</t>
  </si>
  <si>
    <t>KIT DE PORTA DE MADEIRA PARA PINTURA, SEMI-OCA (LEVE OU MÉDIA), PADRÃO POPULAR, 80X210CM, ESPESSURA DE 3,5CM, ITENS INCLUSOS: DOBRADIÇAS, MONTAGEM E INSTALAÇÃO DO BATENTE, FECHADURA COM EXECUÇÃO DO FURO - FORNECIMENTO E INSTALAÇÃO. AF_12/2019</t>
  </si>
  <si>
    <t>KIT DE PORTA DE MADEIRA PARA PINTURA, SEMI-OCA (LEVE OU MÉDIA), PADRÃO POPULAR, 70X210CM, ESPESSURA DE 3,5CM, ITENS INCLUSOS: DOBRADIÇAS, MONTAGEM E INSTALAÇÃO DO BATENTE, FECHADURA COM EXECUÇÃO DO FURO - FORNECIMENTO E INSTALAÇÃO. AF_12/2019</t>
  </si>
  <si>
    <t>SINAPI-I</t>
  </si>
  <si>
    <t>FABRICAÇÃO E INSTALAÇÃO DE TESOURA INTEIRA EM MADEIRA NÃO APARELHADA, VÃO DE 6 M, PARA TELHA ONDULADA DE FIBROCIMENTO, METÁLICA, PLÁSTICA OU TERMOACÚSTICA, INCLUSO IÇAMENTO. AF_07/2019</t>
  </si>
  <si>
    <t>TRAMA DE MADEIRA COMPOSTA POR TERÇAS PARA TELHADOS DE ATÉ 2 ÁGUAS PARA TELHA ONDULADA DE FIBROCIMENTO, METÁLICA, PLÁSTICA OU TERMOACÚSTICA, INCLUSO TRANSPORTE VERTICAL. AF_07/2019</t>
  </si>
  <si>
    <t>TELHAMENTO COM TELHA ONDULADA DE FIBROCIMENTO E = 6 MM, COM RECOBRIMENTO LATERAL DE 1 1/4 DE ONDA PARA TELHADO COM INCLINAÇÃO MÁXIMA DE 10°, COM ATÉ 2 ÁGUAS, INCLUSO IÇAMENTO. AF_07/2019</t>
  </si>
  <si>
    <t>CUMEEIRA PARA TELHA DE FIBROCIMENTO ONDULADA E = 6 MM, INCLUSO ACESSÓRIOS DE FIXAÇÃO E IÇAMENTO. AF_07/2019</t>
  </si>
  <si>
    <t>ALVENARIA DE VEDAÇÃO DE BLOCOS CERÂMICOS MACIÇOS DE 5X10X20CM (ESPESSURA 10CM) E ARGAMASSA DE ASSENTAMENTO COM PREPARO EM BETONEIRA. AF_05/2020</t>
  </si>
  <si>
    <t>2.6</t>
  </si>
  <si>
    <t>2.7</t>
  </si>
  <si>
    <t>CONCRETO CICLÓPICO FCK = 15MPA, 30% PEDRA DE MÃO EM VOLUME REAL, INCLUSIVE LANÇAMENTO. AF_05/2021</t>
  </si>
  <si>
    <t>M³</t>
  </si>
  <si>
    <t>KG</t>
  </si>
  <si>
    <t>3.2</t>
  </si>
  <si>
    <t>3.3</t>
  </si>
  <si>
    <t>PINTURA LÁTEX ACRÍLICA ECONÔMICA, APLICAÇÃO MANUAL EM PAREDES, DUAS DEMÃOS. AF_04/2023</t>
  </si>
  <si>
    <t>CHAPISCO APLICADO EM ALVENARIAS E ESTRUTURAS DE CONCRETO INTERNAS, COM COLHER DE PEDREIRO.  ARGAMASSA TRAÇO 1:3 COM PREPARO EM BETONEIRA 400L. AF_10/2022</t>
  </si>
  <si>
    <t>MASSA ÚNICA, PARA RECEBIMENTO DE PINTURA, EM ARGAMASSA TRAÇO 1:2:8, PREPARO MECÂNICO COM BETONEIRA 400L, APLICADA MANUALMENTE EM FACES INTERNAS DE PAREDES, ESPESSURA DE 20MM, COM EXECUÇÃO DE TALISCAS. AF_06/2014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</si>
  <si>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</si>
  <si>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REVESTIMENTO CERÂMICO PARA PAREDES INTERNAS COM PLACAS TIPO ESMALTADA PADRÃO POPULAR DE DIMENSÕES 20X20 CM, ARGAMASSA TIPO AC III, APLICADAS A MEIA ALTURA DAS PAREDES. AF_02/2023_PE</t>
  </si>
  <si>
    <t>ARMAÇÃO DE PILAR OU VIGA DE ESTRUTURA CONVENCIONAL DE CONCRETO ARMADO UTILIZANDO AÇO CA-50 DE 8,0 MM - MONTAGEM. AF_06/2022</t>
  </si>
  <si>
    <t>VEDAÇÕES</t>
  </si>
  <si>
    <t>5.2</t>
  </si>
  <si>
    <t>5.3</t>
  </si>
  <si>
    <t>6.3</t>
  </si>
  <si>
    <t>6.4</t>
  </si>
  <si>
    <t>6.5</t>
  </si>
  <si>
    <t>7.2</t>
  </si>
  <si>
    <t>10.2</t>
  </si>
  <si>
    <t>10.3</t>
  </si>
  <si>
    <t>12.3</t>
  </si>
  <si>
    <t>12.4</t>
  </si>
  <si>
    <t>REVESTIMENTOS E PINTURA</t>
  </si>
  <si>
    <t>Mês 2</t>
  </si>
  <si>
    <t>RODAFORRO EM PVC, PARA FORRO DE PVC, COMPRIMENTO 6 M</t>
  </si>
  <si>
    <t>PINTURA TINTA DE ACABAMENTO (PIGMENTADA) ESMALTE SINTÉTICO ACETINADO EM MADEIRA, 2 DEMÃOS. AF_01/2021</t>
  </si>
  <si>
    <t>FUNDO SELADOR ACRÍLICO, APLICAÇÃO MANUAL EM PAREDE, UMA DEMÃO. AF_04/2023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</si>
  <si>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</si>
  <si>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</si>
  <si>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TUBO PVC, SERIE NORMAL, ESGOTO PREDIAL, DN 75 MM, FORNECIDO E INSTALADO EM RAMAL DE DESCARGA OU RAMAL DE ESGOTO SANITÁRIO. AF_08/2022</t>
  </si>
  <si>
    <t>TUBO PVC, SERIE NORMAL, ESGOTO PREDIAL, DN 100 MM, FORNECIDO E INSTALADO EM RAMAL DE DESCARGA OU RAMAL DE ESGOTO SANITÁRIO. AF_08/2022</t>
  </si>
  <si>
    <t>JOELHO, PVC SERIE R, 90 GRAUS, DN 100 MM, PARA ESGOTO PREDIAL</t>
  </si>
  <si>
    <t>TE SANITARIO DE REDUCAO, PVC, DN 100 X 50 MM, SERIE NORMAL, PARA ESGOTO PREDIAL</t>
  </si>
  <si>
    <t>RALO SIFONADO REDONDO, PVC, DN 100 X 40 MM, JUNTA SOLDÁVEL, FORNECIDO E INSTALADO EM RAMAL DE DESCARGA OU EM RAMAL DE ESGOTO SANITÁRIO. AF_08/2022</t>
  </si>
  <si>
    <t>CAIXA DE GORDURA PEQUENA (CAPACIDADE: 19 L), CIRCULAR, EM PVC, DIÂMETRO INTERNO= 0,3 M. AF_12/2020</t>
  </si>
  <si>
    <t>FOSSA SEPTICA, SEM FILTRO, EM POLIETILENO DE ALTA DENSIDADE (PEAD), PARA 4 A 7 CONTRIBUINTES, CILINDRICA, COM TAMPA, CAPACIDADE APROXIMADA DE *1100* LITROS (NBR 7229)</t>
  </si>
  <si>
    <t>CAIXA SIFONADA, PVC, DN 100 X 100 X 50 MM, JUNTA ELÁSTICA, FORNECIDA E INSTALADA EM RAMAL DE DESCARGA OU EM RAMAL DE ESGOTO SANITÁRIO. AF_08/2022</t>
  </si>
  <si>
    <t>FILTRO ANAEROBIO, EM POLIETILENO DE ALTA DENSIDADE (PEAD), CAPACIDADE *1100* LITROS (NBR 13969)</t>
  </si>
  <si>
    <t>SUMIDOURO CIRCULAR, EM CONCRETO PRÉ-MOLDADO, DIÂMETRO INTERNO = 1,88 M, ALTURA INTERNA = 2,00 M, ÁREA DE INFILTRAÇÃO: 13,1 M² (PARA 5 CONTRIBUINTES). AF_12/2020_PA</t>
  </si>
  <si>
    <t>11.3</t>
  </si>
  <si>
    <t>TUBO, PVC, SOLDÁVEL, DN 25MM, INSTALADO EM RAMAL OU SUB-RAMAL DE ÁGUA - FORNECIMENTO E INSTALAÇÃO. AF_06/2022</t>
  </si>
  <si>
    <t>JOELHO 90 GRAUS, PVC, SOLDÁVEL, DN 25MM, INSTALADO EM RAMAL OU SUB-RAMAL DE ÁGUA - FORNECIMENTO E INSTALAÇÃO. AF_06/2022</t>
  </si>
  <si>
    <t>UNIÃO, PVC, SOLDÁVEL, DN 20MM, INSTALADO EM RAMAL OU SUB-RAMAL DE ÁGUA - FORNECIMENTO E INSTALAÇÃO. AF_06/2022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</si>
  <si>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</si>
  <si>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</si>
  <si>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</si>
  <si>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</si>
  <si>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</si>
  <si>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</si>
  <si>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</si>
  <si>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</si>
  <si>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</si>
  <si>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ENTRADA DE ENERGIA ELÉTRICA, AÉREA, BIFÁSICA, COM CAIXA DE SOBREPOR, CABO DE 16 MM2 E DISJUNTOR DIN 50A (NÃO INCLUSO O POSTE DE CONCRETO). AF_07/2020_PS</t>
  </si>
  <si>
    <t>CABO DE COBRE FLEXÍVEL ISOLADO, 2,5 MM², ANTI-CHAMA 450/750 V, PARA CIRCUITOS TERMINAIS - FORNECIMENTO E INSTALAÇÃO. AF_03/2023</t>
  </si>
  <si>
    <t>CABO DE COBRE FLEXÍVEL ISOLADO, 6 MM², ANTI-CHAMA 450/750 V, PARA CIRCUITOS TERMINAIS - FORNECIMENTO E INSTALAÇÃO. AF_03/2023</t>
  </si>
  <si>
    <t>TOMADA BAIXA DE EMBUTIR (1 MÓDULO), 2P+T 10 A, INCLUINDO SUPORTE E PLACA - FORNECIMENTO E INSTALAÇÃO. AF_03/2023</t>
  </si>
  <si>
    <t>INTERRUPTOR PARALELO (1 MÓDULO), 10A/250V, SEM SUPORTE E SEM PLACA - FORNECIMENTO E INSTALAÇÃO. AF_03/2023</t>
  </si>
  <si>
    <t>DISJUNTOR MONOPOLAR TIPO DIN, CORRENTE NOMINAL DE 20A - FORNECIMENTO E INSTALAÇÃO. AF_10/2020</t>
  </si>
  <si>
    <t>DISJUNTOR MONOPOLAR TIPO DIN, CORRENTE NOMINAL DE 40A - FORNECIMENTO E INSTALAÇÃO. AF_10/2020</t>
  </si>
  <si>
    <t>LUMINÁRIA TIPO PLAFON EM PLÁSTICO, DE SOBREPOR, COM 1 LÂMPADA FLUORESCENTE DE 15 W, SEM REATOR - FORNECIMENTO E INSTALAÇÃO. AF_02/2020</t>
  </si>
  <si>
    <t>3.4</t>
  </si>
  <si>
    <t>TOMADA MÉDIA DE EMBUTIR (2 MÓDULOS), 2P+T 10 A, INCLUINDO SUPORTE E PLACA - FORNECIMENTO E INSTALAÇÃO. AF_03/2023</t>
  </si>
  <si>
    <t>9.11</t>
  </si>
  <si>
    <t>INTERRUPTOR PARALELO (2 MÓDULOS), 10A/250V, INCLUINDO SUPORTE E PLACA - FORNECIMENTO E INSTALAÇÃO. AF_03/2023</t>
  </si>
  <si>
    <t>9.12</t>
  </si>
  <si>
    <t>CABO DE COBRE FLEXÍVEL ISOLADO, 4 MM², ANTI-CHAMA 450/750 V, PARA CIRCUITOS TERMINAIS - FORNECIMENTO E INSTALAÇÃO. AF_03/2023</t>
  </si>
  <si>
    <t>INFRAESTRUTURA</t>
  </si>
  <si>
    <t>SINAPI DESONERADO - FEVEREIRO 2024</t>
  </si>
  <si>
    <t>R$ Mo</t>
  </si>
  <si>
    <t>R$ Mat BDI</t>
  </si>
  <si>
    <t>R$ MO BDI</t>
  </si>
  <si>
    <t>Total MAT</t>
  </si>
  <si>
    <t>ESCAVAÇÃO MANUAL PARA BLOCO DE COROAMENTO OU SAPATA (SEM ESCAVAÇÃO PARA COLOCAÇÃO DE FÔRMAS). AF_01/2024</t>
  </si>
  <si>
    <t>FABRICAÇÃO, MONTAGEM E DESMONTAGEM DE FÔRMA PARA VIGA BALDRAME, EM MADEIRA SERRADA, E=25 MM, 4 UTILIZAÇÕES. AF_01/2024</t>
  </si>
  <si>
    <t>CONCRETAGEM DE BLOCO DE COROAMENTO OU VIGA BALDRAME, FCK 30 MPA, COM USO DE JERICA - LANÇAMENTO, ADENSAMENTO E ACABAMENTO. AF_01/2024</t>
  </si>
  <si>
    <t>ARMAÇÃO DE PILAR OU VIGA DE ESTRUTURA CONVENCIONAL DE CONCRETO ARMADO UTILIZANDO AÇO CA-60 DE 5,0 MM - MONTAGEM. AF_06/2022</t>
  </si>
  <si>
    <t>ARMAÇÃO DE PILAR OU VIGA DE ESTRUTURA CONVENCIONAL DE CONCRETO ARMADO UTILIZANDO AÇO CA-50 DE 10,0 MM - MONTAGEM. AF_06/2022</t>
  </si>
  <si>
    <t>IMPERMEABILIZAÇÃO DE SUPERFÍCIE COM EMULSÃO ASFÁLTICA, 2 DEMÃOS. AF_09/2023</t>
  </si>
  <si>
    <t>3.5</t>
  </si>
  <si>
    <t>3.6</t>
  </si>
  <si>
    <t>MONTAGEM E DESMONTAGEM DE FÔRMA DE PILARES RETANGULARES E ESTRUTURAS SIMILARES, PÉ-DIREITO SIMPLES, EM MADEIRA SERRADA, 4 UTILIZAÇÕES. AF_09/2020</t>
  </si>
  <si>
    <t>CONCRETAGEM DE VIGAS E LAJES, FCK=25 MPA, PARA QUALQUER TIPO DE LAJE COM BALDES EM EDIFICAÇÃO TÉRREA - LANÇAMENTO, ADENSAMENTO E ACABAMENTO. AF_02/2022</t>
  </si>
  <si>
    <t>CONCRETAGEM DE PILARES, FCK = 25 MPA,  COM USO DE BALDES - LANÇAMENTO, ADENSAMENTO E ACABAMENTO. AF_02/2022</t>
  </si>
  <si>
    <t>4.4</t>
  </si>
  <si>
    <t>4.5</t>
  </si>
  <si>
    <t>ALVENARIA DE VEDAÇÃO DE BLOCOS CERÂMICOS FURADOS NA HORIZONTAL DE 11,5X19X19 CM (ESPESSURA 11,5 CM) E ARGAMASSA DE ASSENTAMENTO COM PREPARO EM BETONEIRA. AF_12/2021</t>
  </si>
  <si>
    <t>ALVENARIA DE EMBASAMENTO COM BLOCO ESTRUTURAL DE CERÂMICA, DE 14X19X29CM E ARGAMASSA DE ASSENTAMENTO COM PREPARO EM BETONEIRA. AF_05/2020</t>
  </si>
  <si>
    <t>VERGA MOLDADA IN LOCO EM CONCRETO PARA JANELAS COM ATÉ 1,5 M DE VÃO. AF_03/2016</t>
  </si>
  <si>
    <t>CONTRAVERGA MOLDADA IN LOCO EM CONCRETO PARA VÃOS DE ATÉ 1,5 M DE COMPRIMENTO. AF_03/2016</t>
  </si>
  <si>
    <t>VERGA MOLDADA IN LOCO EM CONCRETO PARA PORTAS COM ATÉ 1,5 M DE VÃO. AF_03/2016</t>
  </si>
  <si>
    <t>5.4</t>
  </si>
  <si>
    <t>6.2</t>
  </si>
  <si>
    <t>6.6</t>
  </si>
  <si>
    <t>ATERRO MANUAL DE VALAS COM SOLO ARGILO-ARENOSO. AF_08/2023</t>
  </si>
  <si>
    <t>LASTRO COM MATERIAL GRANULAR (PEDRA BRITADA N.1 E PEDRA BRITADA N.2), APLICADO EM PISOS OU LAJES SOBRE SOLO, ESPESSURA DE *10 CM*. AF_01/2024</t>
  </si>
  <si>
    <t>CONTRAPISO EM ARGAMASSA TRAÇO 1:4 (CIMENTO E AREIA), PREPARO MECÂNICO COM BETONEIRA 400 L, APLICADO EM ÁREAS SECAS SOBRE LAJE, NÃO ADERIDO, ACABAMENTO NÃO REFORÇADO, ESPESSURA 5CM. AF_07/2021</t>
  </si>
  <si>
    <t>REVESTIMENTO CERÂMICO PARA PISO COM PLACAS TIPO ESMALTADA EXTRA DE DIMENSÕES 45X45 CM APLICADA EM AMBIENTES DE ÁREA ENTRE 5 M2 E 10 M2. AF_02/2023_PE</t>
  </si>
  <si>
    <t>RODAPÉ CERÂMICO DE 7CM DE ALTURA COM PLACAS TIPO ESMALTADA EXTRA DE DIMENSÕES 45X45CM. AF_02/2023</t>
  </si>
  <si>
    <t xml:space="preserve">SINAPI </t>
  </si>
  <si>
    <t>7.6</t>
  </si>
  <si>
    <t>FORRO EM RÉGUAS DE PVC, FRISADO, PARA AMBIENTES RESIDENCIAIS, INCLUSIVE ESTRUTURA UNIDIRECIONAL DE FIXAÇÃO. AF_08/2023_PS</t>
  </si>
  <si>
    <t>ELETRODUTO FLEXÍVEL CORRUGADO, PVC, DN 20 MM (1/2"), PARA CIRCUITOS TERMINAIS, INSTALADO EM PAREDE - FORNECIMENTO E INSTALAÇÃO. AF_03/2023</t>
  </si>
  <si>
    <t>BDI: 24,47%</t>
  </si>
  <si>
    <t>Charrua, 24 de ABRIL DE 2024</t>
  </si>
  <si>
    <t>RESIDÊNCIA UNIFAMILIAR POPULAR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</si>
  <si>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</si>
  <si>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</si>
  <si>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</si>
  <si>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</si>
  <si>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</si>
  <si>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</si>
  <si>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</si>
  <si>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</si>
  <si>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</si>
  <si>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</si>
  <si>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</si>
  <si>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</si>
  <si>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11.4</t>
  </si>
  <si>
    <t>12.5</t>
  </si>
  <si>
    <t>12.6</t>
  </si>
  <si>
    <t>12.7</t>
  </si>
  <si>
    <t>Mês 3</t>
  </si>
  <si>
    <t>Mês 4</t>
  </si>
  <si>
    <t xml:space="preserve">Obra: Residência Unifamiliar Popular </t>
  </si>
  <si>
    <t>Mês 5</t>
  </si>
  <si>
    <t>Mês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</si>
</sst>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&quot;R$&quot;#,##0.00"/>
    <numFmt numFmtId="165" formatCode="&quot;R$&quot;\ 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37">
    <xf numFmtId="0" fontId="0" fillId="0" borderId="0" xfId="0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0" fillId="0" borderId="13" xfId="0" applyBorder="1"/>
    <xf numFmtId="0" fontId="3" fillId="2" borderId="17" xfId="0" applyFont="1" applyFill="1" applyBorder="1"/>
    <xf numFmtId="0" fontId="3" fillId="2" borderId="10" xfId="0" applyFont="1" applyFill="1" applyBorder="1"/>
    <xf numFmtId="0" fontId="3" fillId="2" borderId="9" xfId="0" applyFont="1" applyFill="1" applyBorder="1"/>
    <xf numFmtId="0" fontId="3" fillId="0" borderId="18" xfId="0" applyFont="1" applyBorder="1" applyAlignment="1">
      <alignment horizontal="center"/>
    </xf>
    <xf numFmtId="0" fontId="5" fillId="0" borderId="10" xfId="0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8" xfId="0" applyNumberFormat="1" applyFont="1" applyBorder="1"/>
    <xf numFmtId="0" fontId="5" fillId="2" borderId="1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0" borderId="8" xfId="0" applyFont="1" applyBorder="1"/>
    <xf numFmtId="0" fontId="2" fillId="0" borderId="0" xfId="0" applyFont="1"/>
    <xf numFmtId="0" fontId="5" fillId="2" borderId="19" xfId="0" applyFont="1" applyFill="1" applyBorder="1" applyAlignment="1">
      <alignment horizontal="center"/>
    </xf>
    <xf numFmtId="0" fontId="2" fillId="0" borderId="16" xfId="0" applyFont="1" applyBorder="1"/>
    <xf numFmtId="164" fontId="2" fillId="0" borderId="16" xfId="0" applyNumberFormat="1" applyFont="1" applyBorder="1"/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8" fillId="0" borderId="0" xfId="0" applyFont="1"/>
    <xf numFmtId="0" fontId="5" fillId="0" borderId="9" xfId="0" applyFont="1" applyBorder="1"/>
    <xf numFmtId="0" fontId="3" fillId="0" borderId="21" xfId="0" applyFont="1" applyBorder="1"/>
    <xf numFmtId="0" fontId="2" fillId="0" borderId="13" xfId="0" applyFont="1" applyBorder="1" applyAlignment="1">
      <alignment horizontal="right"/>
    </xf>
    <xf numFmtId="0" fontId="5" fillId="2" borderId="18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164" fontId="0" fillId="0" borderId="23" xfId="0" applyNumberFormat="1" applyBorder="1"/>
    <xf numFmtId="164" fontId="1" fillId="2" borderId="22" xfId="0" applyNumberFormat="1" applyFont="1" applyFill="1" applyBorder="1"/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wrapText="1"/>
    </xf>
    <xf numFmtId="164" fontId="2" fillId="0" borderId="28" xfId="0" applyNumberFormat="1" applyFont="1" applyBorder="1"/>
    <xf numFmtId="0" fontId="2" fillId="0" borderId="15" xfId="0" applyFont="1" applyBorder="1"/>
    <xf numFmtId="0" fontId="2" fillId="0" borderId="15" xfId="0" applyFont="1" applyBorder="1" applyAlignment="1">
      <alignment horizontal="center"/>
    </xf>
    <xf numFmtId="164" fontId="2" fillId="0" borderId="15" xfId="0" applyNumberFormat="1" applyFont="1" applyBorder="1"/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2" fillId="0" borderId="30" xfId="0" applyFont="1" applyBorder="1" applyAlignment="1">
      <alignment horizontal="right"/>
    </xf>
    <xf numFmtId="0" fontId="1" fillId="2" borderId="14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28" xfId="0" applyFont="1" applyBorder="1"/>
    <xf numFmtId="165" fontId="0" fillId="0" borderId="0" xfId="0" applyNumberFormat="1"/>
    <xf numFmtId="164" fontId="3" fillId="0" borderId="29" xfId="0" applyNumberFormat="1" applyFont="1" applyBorder="1"/>
    <xf numFmtId="0" fontId="6" fillId="0" borderId="0" xfId="0" applyFont="1" applyAlignment="1">
      <alignment vertical="center" wrapText="1"/>
    </xf>
    <xf numFmtId="165" fontId="2" fillId="0" borderId="15" xfId="0" applyNumberFormat="1" applyFont="1" applyBorder="1"/>
    <xf numFmtId="164" fontId="3" fillId="2" borderId="11" xfId="0" applyNumberFormat="1" applyFont="1" applyFill="1" applyBorder="1"/>
    <xf numFmtId="0" fontId="0" fillId="0" borderId="13" xfId="0" applyBorder="1" applyAlignment="1">
      <alignment horizontal="center"/>
    </xf>
    <xf numFmtId="0" fontId="1" fillId="2" borderId="14" xfId="0" applyFont="1" applyFill="1" applyBorder="1"/>
    <xf numFmtId="0" fontId="1" fillId="2" borderId="32" xfId="0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1" fillId="2" borderId="22" xfId="0" applyFont="1" applyFill="1" applyBorder="1"/>
    <xf numFmtId="0" fontId="5" fillId="2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right"/>
    </xf>
    <xf numFmtId="0" fontId="1" fillId="0" borderId="19" xfId="0" applyFont="1" applyBorder="1" applyAlignment="1">
      <alignment horizontal="center"/>
    </xf>
    <xf numFmtId="164" fontId="0" fillId="0" borderId="35" xfId="0" applyNumberFormat="1" applyBorder="1"/>
    <xf numFmtId="0" fontId="1" fillId="2" borderId="12" xfId="0" applyFont="1" applyFill="1" applyBorder="1" applyAlignment="1">
      <alignment horizontal="center" vertical="center"/>
    </xf>
    <xf numFmtId="0" fontId="1" fillId="2" borderId="36" xfId="0" applyFont="1" applyFill="1" applyBorder="1"/>
    <xf numFmtId="0" fontId="0" fillId="0" borderId="31" xfId="0" applyBorder="1"/>
    <xf numFmtId="0" fontId="1" fillId="0" borderId="27" xfId="0" applyFont="1" applyBorder="1" applyAlignment="1">
      <alignment horizontal="center"/>
    </xf>
    <xf numFmtId="0" fontId="0" fillId="0" borderId="33" xfId="0" applyBorder="1"/>
    <xf numFmtId="164" fontId="2" fillId="0" borderId="33" xfId="0" applyNumberFormat="1" applyFont="1" applyBorder="1"/>
    <xf numFmtId="0" fontId="2" fillId="0" borderId="34" xfId="0" applyFont="1" applyBorder="1"/>
    <xf numFmtId="0" fontId="6" fillId="0" borderId="34" xfId="0" applyFont="1" applyBorder="1" applyAlignment="1">
      <alignment horizontal="center"/>
    </xf>
    <xf numFmtId="164" fontId="2" fillId="0" borderId="34" xfId="0" applyNumberFormat="1" applyFont="1" applyBorder="1"/>
    <xf numFmtId="0" fontId="6" fillId="0" borderId="38" xfId="0" applyFont="1" applyBorder="1" applyAlignment="1">
      <alignment wrapText="1"/>
    </xf>
    <xf numFmtId="0" fontId="1" fillId="0" borderId="21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2" fontId="0" fillId="0" borderId="40" xfId="0" applyNumberFormat="1" applyBorder="1" applyAlignment="1">
      <alignment horizontal="center"/>
    </xf>
    <xf numFmtId="0" fontId="1" fillId="0" borderId="12" xfId="0" applyFont="1" applyBorder="1"/>
    <xf numFmtId="0" fontId="1" fillId="0" borderId="27" xfId="0" applyFont="1" applyBorder="1"/>
    <xf numFmtId="0" fontId="0" fillId="0" borderId="23" xfId="0" applyBorder="1"/>
    <xf numFmtId="0" fontId="0" fillId="0" borderId="37" xfId="0" applyBorder="1"/>
    <xf numFmtId="0" fontId="6" fillId="0" borderId="15" xfId="0" applyFont="1" applyBorder="1" applyAlignment="1">
      <alignment wrapText="1"/>
    </xf>
    <xf numFmtId="0" fontId="6" fillId="0" borderId="15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2" fillId="0" borderId="41" xfId="0" applyFont="1" applyBorder="1"/>
    <xf numFmtId="0" fontId="6" fillId="0" borderId="38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6" fillId="0" borderId="33" xfId="0" applyFont="1" applyBorder="1" applyAlignment="1">
      <alignment wrapText="1"/>
    </xf>
    <xf numFmtId="0" fontId="2" fillId="0" borderId="1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2" borderId="19" xfId="0" applyFont="1" applyFill="1" applyBorder="1"/>
    <xf numFmtId="165" fontId="2" fillId="0" borderId="42" xfId="0" applyNumberFormat="1" applyFont="1" applyBorder="1"/>
    <xf numFmtId="0" fontId="2" fillId="0" borderId="15" xfId="0" applyFont="1" applyFill="1" applyBorder="1"/>
    <xf numFmtId="164" fontId="2" fillId="0" borderId="8" xfId="0" applyNumberFormat="1" applyFont="1" applyFill="1" applyBorder="1"/>
    <xf numFmtId="0" fontId="2" fillId="0" borderId="28" xfId="0" applyFont="1" applyFill="1" applyBorder="1"/>
    <xf numFmtId="0" fontId="2" fillId="0" borderId="8" xfId="0" applyFont="1" applyFill="1" applyBorder="1"/>
    <xf numFmtId="0" fontId="2" fillId="0" borderId="16" xfId="0" applyFont="1" applyFill="1" applyBorder="1"/>
    <xf numFmtId="0" fontId="2" fillId="0" borderId="43" xfId="0" applyFont="1" applyBorder="1" applyAlignment="1">
      <alignment horizontal="right"/>
    </xf>
    <xf numFmtId="0" fontId="6" fillId="0" borderId="39" xfId="0" applyFont="1" applyBorder="1" applyAlignment="1">
      <alignment wrapText="1"/>
    </xf>
    <xf numFmtId="0" fontId="6" fillId="0" borderId="44" xfId="0" applyFont="1" applyBorder="1" applyAlignment="1">
      <alignment wrapText="1"/>
    </xf>
    <xf numFmtId="0" fontId="6" fillId="0" borderId="45" xfId="0" applyFont="1" applyBorder="1" applyAlignment="1">
      <alignment wrapText="1"/>
    </xf>
    <xf numFmtId="0" fontId="2" fillId="0" borderId="8" xfId="0" applyFont="1" applyBorder="1" applyAlignment="1">
      <alignment horizontal="right"/>
    </xf>
    <xf numFmtId="0" fontId="3" fillId="2" borderId="7" xfId="0" applyFont="1" applyFill="1" applyBorder="1"/>
    <xf numFmtId="0" fontId="2" fillId="0" borderId="31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2" fontId="0" fillId="0" borderId="13" xfId="0" applyNumberFormat="1" applyBorder="1" applyAlignment="1">
      <alignment horizontal="center"/>
    </xf>
    <xf numFmtId="0" fontId="0" fillId="0" borderId="43" xfId="0" applyBorder="1"/>
    <xf numFmtId="0" fontId="0" fillId="0" borderId="35" xfId="0" applyBorder="1"/>
    <xf numFmtId="2" fontId="0" fillId="0" borderId="43" xfId="0" applyNumberFormat="1" applyBorder="1" applyAlignment="1">
      <alignment horizontal="center"/>
    </xf>
    <xf numFmtId="9" fontId="1" fillId="2" borderId="12" xfId="1" applyNumberFormat="1" applyFont="1" applyFill="1" applyBorder="1"/>
    <xf numFmtId="164" fontId="1" fillId="2" borderId="27" xfId="0" applyNumberFormat="1" applyFont="1" applyFill="1" applyBorder="1"/>
    <xf numFmtId="0" fontId="1" fillId="2" borderId="12" xfId="0" applyFont="1" applyFill="1" applyBorder="1"/>
    <xf numFmtId="165" fontId="1" fillId="2" borderId="21" xfId="0" applyNumberFormat="1" applyFont="1" applyFill="1" applyBorder="1" applyAlignment="1">
      <alignment horizontal="center"/>
    </xf>
    <xf numFmtId="165" fontId="1" fillId="2" borderId="6" xfId="0" applyNumberFormat="1" applyFont="1" applyFill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0" fontId="2" fillId="0" borderId="21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2" fillId="0" borderId="20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8"/>
  <sheetViews>
    <sheetView tabSelected="1" zoomScaleNormal="100" workbookViewId="0">
      <selection activeCell="M99" sqref="A1:M99"/>
    </sheetView>
  </sheetViews>
  <sheetFormatPr defaultRowHeight="15" x14ac:dyDescent="0.25"/>
  <cols>
    <col min="2" max="2" width="107.140625" customWidth="1"/>
    <col min="3" max="3" width="8.28515625" customWidth="1"/>
    <col min="4" max="4" width="6.85546875" customWidth="1"/>
    <col min="5" max="5" width="10.5703125" customWidth="1"/>
    <col min="6" max="6" width="11.5703125" customWidth="1"/>
    <col min="7" max="7" width="11.42578125" customWidth="1"/>
    <col min="8" max="8" width="11.140625" customWidth="1"/>
    <col min="9" max="10" width="11.5703125" customWidth="1"/>
    <col min="11" max="12" width="11.42578125" customWidth="1"/>
    <col min="13" max="13" width="12.28515625" customWidth="1"/>
    <col min="14" max="14" width="10.7109375" bestFit="1" customWidth="1"/>
    <col min="15" max="15" width="4.85546875" customWidth="1"/>
    <col min="16" max="16" width="8.85546875" hidden="1" customWidth="1"/>
    <col min="17" max="17" width="12.5703125" bestFit="1" customWidth="1"/>
  </cols>
  <sheetData>
    <row r="1" spans="1:17" ht="15.75" x14ac:dyDescent="0.25">
      <c r="A1" s="119" t="s">
        <v>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7" ht="15.75" x14ac:dyDescent="0.25">
      <c r="A2" s="122" t="s">
        <v>146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4"/>
    </row>
    <row r="3" spans="1:17" ht="15.75" thickBot="1" x14ac:dyDescent="0.3">
      <c r="A3" s="125" t="s">
        <v>14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7"/>
    </row>
    <row r="4" spans="1:17" ht="15.75" thickBot="1" x14ac:dyDescent="0.3">
      <c r="A4" s="116" t="s">
        <v>42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8"/>
    </row>
    <row r="5" spans="1:17" ht="15.75" thickBot="1" x14ac:dyDescent="0.3">
      <c r="A5" s="116" t="s">
        <v>181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8"/>
    </row>
    <row r="6" spans="1:17" ht="21.95" customHeight="1" thickBot="1" x14ac:dyDescent="0.3">
      <c r="A6" s="25" t="s">
        <v>2</v>
      </c>
      <c r="B6" s="10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8</v>
      </c>
      <c r="H6" s="11" t="s">
        <v>147</v>
      </c>
      <c r="I6" s="11" t="s">
        <v>148</v>
      </c>
      <c r="J6" s="11" t="s">
        <v>149</v>
      </c>
      <c r="K6" s="11" t="s">
        <v>150</v>
      </c>
      <c r="L6" s="88" t="s">
        <v>9</v>
      </c>
      <c r="M6" s="12" t="s">
        <v>10</v>
      </c>
    </row>
    <row r="7" spans="1:17" ht="21.95" customHeight="1" thickBot="1" x14ac:dyDescent="0.3">
      <c r="A7" s="26"/>
      <c r="B7" s="15" t="s">
        <v>183</v>
      </c>
      <c r="C7" s="9"/>
      <c r="D7" s="1"/>
      <c r="E7" s="1"/>
      <c r="F7" s="1"/>
      <c r="G7" s="1"/>
      <c r="H7" s="1"/>
      <c r="I7" s="1"/>
      <c r="J7" s="1"/>
      <c r="K7" s="1"/>
      <c r="L7" s="89"/>
      <c r="M7" s="2"/>
    </row>
    <row r="8" spans="1:17" ht="21.95" customHeight="1" thickBot="1" x14ac:dyDescent="0.3">
      <c r="A8" s="6">
        <v>1</v>
      </c>
      <c r="B8" s="6" t="s">
        <v>43</v>
      </c>
      <c r="C8" s="8"/>
      <c r="D8" s="7"/>
      <c r="E8" s="7"/>
      <c r="F8" s="7"/>
      <c r="G8" s="7"/>
      <c r="H8" s="7"/>
      <c r="I8" s="7"/>
      <c r="J8" s="7"/>
      <c r="K8" s="7"/>
      <c r="L8" s="90"/>
      <c r="M8" s="49">
        <f>SUM(M9:M9)</f>
        <v>7865.8622389837001</v>
      </c>
      <c r="Q8" s="45"/>
    </row>
    <row r="9" spans="1:17" ht="29.45" customHeight="1" thickBot="1" x14ac:dyDescent="0.3">
      <c r="A9" s="41" t="s">
        <v>11</v>
      </c>
      <c r="B9" s="79" t="s">
        <v>55</v>
      </c>
      <c r="C9" s="36">
        <f>27.1*5</f>
        <v>135.5</v>
      </c>
      <c r="D9" s="37" t="s">
        <v>29</v>
      </c>
      <c r="E9" s="36" t="s">
        <v>1</v>
      </c>
      <c r="F9" s="39">
        <v>99059</v>
      </c>
      <c r="G9" s="38">
        <f>(0.7445*4.32)+(0.4125*15.54)+(0.111*13.56)+(0.0256*33.15)+(0.55*7.63)+(0.0046*426.19)+(1.5*2.24)</f>
        <v>21.497264000000001</v>
      </c>
      <c r="H9" s="38">
        <f>(0.3563*21.04)+(0.7125*23.77)+(0.0039*35.23)+(0.0168*33.98)</f>
        <v>25.140937999999998</v>
      </c>
      <c r="I9" s="48">
        <f>G9*1.2447</f>
        <v>26.757644500800001</v>
      </c>
      <c r="J9" s="38">
        <f>H9*1.2447</f>
        <v>31.292925528599994</v>
      </c>
      <c r="K9" s="48">
        <f>I9*C9</f>
        <v>3625.6608298584001</v>
      </c>
      <c r="L9" s="91">
        <f>J9*C9</f>
        <v>4240.1914091252993</v>
      </c>
      <c r="M9" s="46">
        <f>K9+L9+0.01</f>
        <v>7865.8622389837001</v>
      </c>
    </row>
    <row r="10" spans="1:17" ht="21.95" customHeight="1" thickBot="1" x14ac:dyDescent="0.3">
      <c r="A10" s="6">
        <v>2</v>
      </c>
      <c r="B10" s="6" t="s">
        <v>145</v>
      </c>
      <c r="C10" s="8"/>
      <c r="D10" s="7"/>
      <c r="E10" s="7"/>
      <c r="F10" s="7"/>
      <c r="G10" s="7"/>
      <c r="H10" s="7"/>
      <c r="I10" s="7"/>
      <c r="J10" s="7"/>
      <c r="K10" s="7"/>
      <c r="L10" s="90"/>
      <c r="M10" s="49">
        <f>SUM(M11:M17)</f>
        <v>53180.187613821385</v>
      </c>
    </row>
    <row r="11" spans="1:17" ht="24.75" customHeight="1" x14ac:dyDescent="0.25">
      <c r="A11" s="41" t="s">
        <v>33</v>
      </c>
      <c r="B11" s="68" t="s">
        <v>151</v>
      </c>
      <c r="C11" s="20">
        <f>(C12*2)</f>
        <v>25.4</v>
      </c>
      <c r="D11" s="87" t="s">
        <v>80</v>
      </c>
      <c r="E11" s="20" t="s">
        <v>1</v>
      </c>
      <c r="F11" s="80">
        <v>96522</v>
      </c>
      <c r="G11" s="38">
        <v>0</v>
      </c>
      <c r="H11" s="38">
        <f>(1.683*24.11)+(4.441*20.08)</f>
        <v>129.75241</v>
      </c>
      <c r="I11" s="48">
        <f>G11*1.2447</f>
        <v>0</v>
      </c>
      <c r="J11" s="38">
        <f>H11*1.2447</f>
        <v>161.50282472699999</v>
      </c>
      <c r="K11" s="48">
        <f>I11*C11</f>
        <v>0</v>
      </c>
      <c r="L11" s="91">
        <f>J11*C11</f>
        <v>4102.1717480657999</v>
      </c>
      <c r="M11" s="46">
        <f>K11+L11</f>
        <v>4102.1717480657999</v>
      </c>
    </row>
    <row r="12" spans="1:17" ht="23.45" customHeight="1" x14ac:dyDescent="0.25">
      <c r="A12" s="27" t="s">
        <v>34</v>
      </c>
      <c r="B12" s="34" t="s">
        <v>79</v>
      </c>
      <c r="C12" s="17">
        <f>2.54*5</f>
        <v>12.7</v>
      </c>
      <c r="D12" s="13" t="s">
        <v>80</v>
      </c>
      <c r="E12" s="17" t="s">
        <v>1</v>
      </c>
      <c r="F12" s="32">
        <v>102487</v>
      </c>
      <c r="G12" s="14">
        <f>(0.4543*69.25)+(0.805*430.89)</f>
        <v>378.32672500000001</v>
      </c>
      <c r="H12" s="14">
        <f>(1.6702*24.11)+(6.4684*20.08)+(0.2198*1.26)+(0.6377*0.49)</f>
        <v>170.743415</v>
      </c>
      <c r="I12" s="48">
        <f t="shared" ref="I12:I17" si="0">G12*1.2447</f>
        <v>470.90327460750001</v>
      </c>
      <c r="J12" s="38">
        <f t="shared" ref="J12:J17" si="1">H12*1.2447</f>
        <v>212.5243286505</v>
      </c>
      <c r="K12" s="48">
        <f t="shared" ref="K12:K17" si="2">I12*C12</f>
        <v>5980.4715875152497</v>
      </c>
      <c r="L12" s="91">
        <f t="shared" ref="L12:L17" si="3">J12*C12</f>
        <v>2699.0589738613498</v>
      </c>
      <c r="M12" s="46">
        <f t="shared" ref="M12:M17" si="4">K12+L12</f>
        <v>8679.5305613765995</v>
      </c>
    </row>
    <row r="13" spans="1:17" ht="29.45" customHeight="1" x14ac:dyDescent="0.25">
      <c r="A13" s="27" t="s">
        <v>35</v>
      </c>
      <c r="B13" s="34" t="s">
        <v>152</v>
      </c>
      <c r="C13" s="17">
        <f>21.17*5</f>
        <v>105.85000000000001</v>
      </c>
      <c r="D13" s="13" t="s">
        <v>0</v>
      </c>
      <c r="E13" s="17" t="s">
        <v>1</v>
      </c>
      <c r="F13" s="32">
        <v>96536</v>
      </c>
      <c r="G13" s="14">
        <f>(0.0167*7.36)+(0.605*6.75)+(0.547*2.36)+(0.026*13.82)+(1.134*11.2)+(0.053*16.73)</f>
        <v>19.444392000000001</v>
      </c>
      <c r="H13" s="14">
        <f>(0.477*21.04)+(1.088*23.77)+(0.013*35.23)+(0.053*33.98)</f>
        <v>38.156770000000002</v>
      </c>
      <c r="I13" s="48">
        <f t="shared" si="0"/>
        <v>24.2024347224</v>
      </c>
      <c r="J13" s="38">
        <f t="shared" si="1"/>
        <v>47.493731619000002</v>
      </c>
      <c r="K13" s="48">
        <f t="shared" si="2"/>
        <v>2561.8277153660401</v>
      </c>
      <c r="L13" s="91">
        <f t="shared" si="3"/>
        <v>5027.2114918711504</v>
      </c>
      <c r="M13" s="46">
        <f t="shared" si="4"/>
        <v>7589.0392072371906</v>
      </c>
      <c r="N13" s="45"/>
    </row>
    <row r="14" spans="1:17" ht="27.6" customHeight="1" x14ac:dyDescent="0.25">
      <c r="A14" s="27" t="s">
        <v>38</v>
      </c>
      <c r="B14" s="34" t="s">
        <v>153</v>
      </c>
      <c r="C14" s="17">
        <f>2.54*5</f>
        <v>12.7</v>
      </c>
      <c r="D14" s="13" t="s">
        <v>80</v>
      </c>
      <c r="E14" s="17" t="s">
        <v>1</v>
      </c>
      <c r="F14" s="80">
        <v>96555</v>
      </c>
      <c r="G14" s="14">
        <f>(1.16*510.28)</f>
        <v>591.92479999999989</v>
      </c>
      <c r="H14" s="14">
        <f>(2.425*24.11)+(2.882*20.08)+(0.34*1.26)+(1.101*0.49)</f>
        <v>117.3052</v>
      </c>
      <c r="I14" s="48">
        <f t="shared" si="0"/>
        <v>736.76879855999982</v>
      </c>
      <c r="J14" s="38">
        <f t="shared" si="1"/>
        <v>146.00978243999998</v>
      </c>
      <c r="K14" s="48">
        <f t="shared" si="2"/>
        <v>9356.9637417119975</v>
      </c>
      <c r="L14" s="91">
        <f t="shared" si="3"/>
        <v>1854.3242369879997</v>
      </c>
      <c r="M14" s="46">
        <f t="shared" si="4"/>
        <v>11211.287978699997</v>
      </c>
      <c r="N14" s="45"/>
    </row>
    <row r="15" spans="1:17" ht="28.15" customHeight="1" x14ac:dyDescent="0.25">
      <c r="A15" s="27" t="s">
        <v>39</v>
      </c>
      <c r="B15" s="34" t="s">
        <v>154</v>
      </c>
      <c r="C15" s="17">
        <f>37.04*5</f>
        <v>185.2</v>
      </c>
      <c r="D15" s="13" t="s">
        <v>81</v>
      </c>
      <c r="E15" s="17" t="s">
        <v>1</v>
      </c>
      <c r="F15" s="32">
        <v>92759</v>
      </c>
      <c r="G15" s="14">
        <f>(1.19*0.16)+(0.025*20)+(10.15)</f>
        <v>10.840400000000001</v>
      </c>
      <c r="H15" s="14">
        <f>(0.0175*21.13)+(0.1069*23.91)</f>
        <v>2.925754</v>
      </c>
      <c r="I15" s="48">
        <f t="shared" si="0"/>
        <v>13.49304588</v>
      </c>
      <c r="J15" s="38">
        <f t="shared" si="1"/>
        <v>3.6416860037999998</v>
      </c>
      <c r="K15" s="48">
        <f t="shared" si="2"/>
        <v>2498.9120969759997</v>
      </c>
      <c r="L15" s="91">
        <f t="shared" si="3"/>
        <v>674.44024790375988</v>
      </c>
      <c r="M15" s="46">
        <f t="shared" si="4"/>
        <v>3173.3523448797596</v>
      </c>
    </row>
    <row r="16" spans="1:17" ht="28.5" customHeight="1" x14ac:dyDescent="0.25">
      <c r="A16" s="27" t="s">
        <v>77</v>
      </c>
      <c r="B16" s="34" t="s">
        <v>155</v>
      </c>
      <c r="C16" s="17">
        <f>113.4*5</f>
        <v>567</v>
      </c>
      <c r="D16" s="13" t="s">
        <v>81</v>
      </c>
      <c r="E16" s="17" t="s">
        <v>1</v>
      </c>
      <c r="F16" s="32">
        <v>92762</v>
      </c>
      <c r="G16" s="14">
        <f>(0.543*0.16)+(0.025*20)+(9.62)</f>
        <v>10.20688</v>
      </c>
      <c r="H16" s="14">
        <f>(0.0064*21.13)+(0.0392*23.91)</f>
        <v>1.0725039999999999</v>
      </c>
      <c r="I16" s="48">
        <f t="shared" si="0"/>
        <v>12.704503535999999</v>
      </c>
      <c r="J16" s="38">
        <f t="shared" si="1"/>
        <v>1.3349457287999997</v>
      </c>
      <c r="K16" s="48">
        <f t="shared" si="2"/>
        <v>7203.4535049119995</v>
      </c>
      <c r="L16" s="91">
        <f t="shared" si="3"/>
        <v>756.91422822959987</v>
      </c>
      <c r="M16" s="46">
        <f>K16+L16+0.03</f>
        <v>7960.397733141599</v>
      </c>
    </row>
    <row r="17" spans="1:14" ht="23.45" customHeight="1" thickBot="1" x14ac:dyDescent="0.3">
      <c r="A17" s="27" t="s">
        <v>78</v>
      </c>
      <c r="B17" s="79" t="s">
        <v>156</v>
      </c>
      <c r="C17" s="17">
        <f>34.36*5</f>
        <v>171.8</v>
      </c>
      <c r="D17" s="13" t="s">
        <v>0</v>
      </c>
      <c r="E17" s="17" t="s">
        <v>1</v>
      </c>
      <c r="F17" s="80">
        <v>98557</v>
      </c>
      <c r="G17" s="14">
        <f>(1.5*24.01)</f>
        <v>36.015000000000001</v>
      </c>
      <c r="H17" s="14">
        <f>(0.0969*20.92)+(0.4299*25.34)</f>
        <v>12.920814</v>
      </c>
      <c r="I17" s="48">
        <f t="shared" si="0"/>
        <v>44.827870499999996</v>
      </c>
      <c r="J17" s="38">
        <f t="shared" si="1"/>
        <v>16.0825371858</v>
      </c>
      <c r="K17" s="48">
        <f t="shared" si="2"/>
        <v>7701.4281518999996</v>
      </c>
      <c r="L17" s="91">
        <f t="shared" si="3"/>
        <v>2762.97988852044</v>
      </c>
      <c r="M17" s="46">
        <f t="shared" si="4"/>
        <v>10464.40804042044</v>
      </c>
    </row>
    <row r="18" spans="1:14" ht="21.95" customHeight="1" thickBot="1" x14ac:dyDescent="0.3">
      <c r="A18" s="6">
        <v>3</v>
      </c>
      <c r="B18" s="6" t="s">
        <v>57</v>
      </c>
      <c r="C18" s="8"/>
      <c r="D18" s="7"/>
      <c r="E18" s="7"/>
      <c r="F18" s="7"/>
      <c r="G18" s="7"/>
      <c r="H18" s="7"/>
      <c r="I18" s="7"/>
      <c r="J18" s="7"/>
      <c r="K18" s="7"/>
      <c r="L18" s="90"/>
      <c r="M18" s="49">
        <f>SUM(M19:M24)</f>
        <v>22722.637212826194</v>
      </c>
    </row>
    <row r="19" spans="1:14" ht="30" customHeight="1" x14ac:dyDescent="0.25">
      <c r="A19" s="41" t="s">
        <v>32</v>
      </c>
      <c r="B19" s="68" t="s">
        <v>159</v>
      </c>
      <c r="C19" s="17">
        <f>15.76*5</f>
        <v>78.8</v>
      </c>
      <c r="D19" s="13" t="s">
        <v>0</v>
      </c>
      <c r="E19" s="17" t="s">
        <v>1</v>
      </c>
      <c r="F19" s="82">
        <v>92413</v>
      </c>
      <c r="G19" s="14">
        <f>(0.017*7.36)+(0.027*16.73)+(0.275*110.74)</f>
        <v>31.030330000000003</v>
      </c>
      <c r="H19" s="14">
        <f>(0.376*21.04)+(2.052*23.77)</f>
        <v>56.687080000000002</v>
      </c>
      <c r="I19" s="48">
        <f>G19*1.2447</f>
        <v>38.623451750999998</v>
      </c>
      <c r="J19" s="38">
        <f>H19*1.2447</f>
        <v>70.558408475999997</v>
      </c>
      <c r="K19" s="48">
        <f>I19*C19</f>
        <v>3043.5279979787997</v>
      </c>
      <c r="L19" s="91">
        <f>J19*C19</f>
        <v>5560.0025879087998</v>
      </c>
      <c r="M19" s="46">
        <f>K19+L19</f>
        <v>8603.5305858876</v>
      </c>
    </row>
    <row r="20" spans="1:14" ht="27" customHeight="1" x14ac:dyDescent="0.25">
      <c r="A20" s="41" t="s">
        <v>82</v>
      </c>
      <c r="B20" s="34" t="s">
        <v>160</v>
      </c>
      <c r="C20" s="17">
        <f>((0.2*0.15*14.1)+(0.2*0.15*13))*5</f>
        <v>4.0649999999999995</v>
      </c>
      <c r="D20" s="13" t="s">
        <v>80</v>
      </c>
      <c r="E20" s="17" t="s">
        <v>1</v>
      </c>
      <c r="F20" s="32">
        <v>103682</v>
      </c>
      <c r="G20" s="14">
        <f>(1.103*569.67)</f>
        <v>628.34600999999998</v>
      </c>
      <c r="H20" s="14">
        <f>(1.19*23.77)+(3.571*24.11)+(8.407*20.08)+(0.942*1.26)+(0.49*0.249)</f>
        <v>284.50459999999998</v>
      </c>
      <c r="I20" s="48">
        <f>G20*1.2447</f>
        <v>782.10227864699993</v>
      </c>
      <c r="J20" s="38">
        <f>H20*1.2447</f>
        <v>354.12287561999995</v>
      </c>
      <c r="K20" s="48">
        <f t="shared" ref="K20:K24" si="5">I20*C20</f>
        <v>3179.2457627000545</v>
      </c>
      <c r="L20" s="91">
        <f t="shared" ref="L20:L24" si="6">J20*C20</f>
        <v>1439.5094893952996</v>
      </c>
      <c r="M20" s="46">
        <f t="shared" ref="M20:M24" si="7">K20+L20</f>
        <v>4618.7552520953541</v>
      </c>
      <c r="N20" s="45"/>
    </row>
    <row r="21" spans="1:14" ht="21" customHeight="1" x14ac:dyDescent="0.25">
      <c r="A21" s="41" t="s">
        <v>83</v>
      </c>
      <c r="B21" s="34" t="s">
        <v>161</v>
      </c>
      <c r="C21" s="20">
        <f>0.36*5</f>
        <v>1.7999999999999998</v>
      </c>
      <c r="D21" s="87" t="s">
        <v>80</v>
      </c>
      <c r="E21" s="20" t="s">
        <v>1</v>
      </c>
      <c r="F21" s="32">
        <v>103669</v>
      </c>
      <c r="G21" s="21">
        <f>(1.103*569.67)</f>
        <v>628.34600999999998</v>
      </c>
      <c r="H21" s="21">
        <f>(2.459*23.77)+(2.459*24.11)+(7.377*20.08)+(1.042*1.26)+(1.417*0.49)</f>
        <v>267.87432999999999</v>
      </c>
      <c r="I21" s="48">
        <f t="shared" ref="I21:I24" si="8">G21*1.2447</f>
        <v>782.10227864699993</v>
      </c>
      <c r="J21" s="38">
        <f t="shared" ref="J21:J24" si="9">H21*1.2447</f>
        <v>333.42317855099998</v>
      </c>
      <c r="K21" s="48">
        <f t="shared" si="5"/>
        <v>1407.7841015645997</v>
      </c>
      <c r="L21" s="91">
        <f t="shared" si="6"/>
        <v>600.16172139179992</v>
      </c>
      <c r="M21" s="46">
        <f t="shared" si="7"/>
        <v>2007.9458229563998</v>
      </c>
    </row>
    <row r="22" spans="1:14" ht="29.45" customHeight="1" x14ac:dyDescent="0.25">
      <c r="A22" s="41" t="s">
        <v>139</v>
      </c>
      <c r="B22" s="34" t="s">
        <v>154</v>
      </c>
      <c r="C22" s="17">
        <f>22.86*5</f>
        <v>114.3</v>
      </c>
      <c r="D22" s="13" t="s">
        <v>81</v>
      </c>
      <c r="E22" s="17" t="s">
        <v>1</v>
      </c>
      <c r="F22" s="39">
        <v>92759</v>
      </c>
      <c r="G22" s="14">
        <f>(1.19*0.16)+(0.025*20)+(10.15)</f>
        <v>10.840400000000001</v>
      </c>
      <c r="H22" s="14">
        <f>(0.0175*21.13)+(0.1069*23.91)</f>
        <v>2.925754</v>
      </c>
      <c r="I22" s="48">
        <f t="shared" si="8"/>
        <v>13.49304588</v>
      </c>
      <c r="J22" s="38">
        <f t="shared" si="9"/>
        <v>3.6416860037999998</v>
      </c>
      <c r="K22" s="48">
        <f t="shared" si="5"/>
        <v>1542.255144084</v>
      </c>
      <c r="L22" s="91">
        <f t="shared" si="6"/>
        <v>416.24471023433995</v>
      </c>
      <c r="M22" s="46">
        <f t="shared" si="7"/>
        <v>1958.4998543183399</v>
      </c>
    </row>
    <row r="23" spans="1:14" ht="30.6" customHeight="1" x14ac:dyDescent="0.25">
      <c r="A23" s="41" t="s">
        <v>157</v>
      </c>
      <c r="B23" s="34" t="s">
        <v>89</v>
      </c>
      <c r="C23" s="17">
        <f>44.25*5</f>
        <v>221.25</v>
      </c>
      <c r="D23" s="13" t="s">
        <v>81</v>
      </c>
      <c r="E23" s="17" t="s">
        <v>1</v>
      </c>
      <c r="F23" s="32">
        <v>92761</v>
      </c>
      <c r="G23" s="14">
        <f>(0.743*0.16)+(0.025*20)+(10.39)</f>
        <v>11.008880000000001</v>
      </c>
      <c r="H23" s="14">
        <f>(0.0092*21.13)+(0.0561*23.91)</f>
        <v>1.535747</v>
      </c>
      <c r="I23" s="48">
        <f t="shared" si="8"/>
        <v>13.702752936000001</v>
      </c>
      <c r="J23" s="38">
        <f t="shared" si="9"/>
        <v>1.9115442908999998</v>
      </c>
      <c r="K23" s="48">
        <f t="shared" si="5"/>
        <v>3031.7340870900002</v>
      </c>
      <c r="L23" s="91">
        <f t="shared" si="6"/>
        <v>422.92917436162497</v>
      </c>
      <c r="M23" s="46">
        <f t="shared" si="7"/>
        <v>3454.6632614516252</v>
      </c>
    </row>
    <row r="24" spans="1:14" ht="31.9" customHeight="1" thickBot="1" x14ac:dyDescent="0.3">
      <c r="A24" s="41" t="s">
        <v>158</v>
      </c>
      <c r="B24" s="79" t="s">
        <v>155</v>
      </c>
      <c r="C24" s="20">
        <f>29.62*5</f>
        <v>148.1</v>
      </c>
      <c r="D24" s="87" t="s">
        <v>81</v>
      </c>
      <c r="E24" s="20" t="s">
        <v>1</v>
      </c>
      <c r="F24" s="80">
        <v>92762</v>
      </c>
      <c r="G24" s="21">
        <f>(0.543*0.16)+(0.025*20)+(9.62)</f>
        <v>10.20688</v>
      </c>
      <c r="H24" s="21">
        <f>(0.0064*21.13)+(0.0392*23.91)</f>
        <v>1.0725039999999999</v>
      </c>
      <c r="I24" s="48">
        <f t="shared" si="8"/>
        <v>12.704503535999999</v>
      </c>
      <c r="J24" s="38">
        <f t="shared" si="9"/>
        <v>1.3349457287999997</v>
      </c>
      <c r="K24" s="48">
        <f t="shared" si="5"/>
        <v>1881.5369736815999</v>
      </c>
      <c r="L24" s="91">
        <f t="shared" si="6"/>
        <v>197.70546243527994</v>
      </c>
      <c r="M24" s="46">
        <f t="shared" si="7"/>
        <v>2079.2424361168796</v>
      </c>
    </row>
    <row r="25" spans="1:14" ht="21.95" customHeight="1" thickBot="1" x14ac:dyDescent="0.3">
      <c r="A25" s="6">
        <v>4</v>
      </c>
      <c r="B25" s="6" t="s">
        <v>90</v>
      </c>
      <c r="C25" s="8"/>
      <c r="D25" s="7"/>
      <c r="E25" s="7"/>
      <c r="F25" s="7"/>
      <c r="G25" s="7"/>
      <c r="H25" s="7"/>
      <c r="I25" s="7"/>
      <c r="J25" s="7"/>
      <c r="K25" s="7"/>
      <c r="L25" s="90"/>
      <c r="M25" s="49">
        <f>SUM(M26:M30)</f>
        <v>64370.987493011344</v>
      </c>
    </row>
    <row r="26" spans="1:14" ht="29.25" customHeight="1" x14ac:dyDescent="0.25">
      <c r="A26" s="56" t="s">
        <v>30</v>
      </c>
      <c r="B26" s="68" t="s">
        <v>164</v>
      </c>
      <c r="C26" s="44">
        <f>92.28*5</f>
        <v>461.4</v>
      </c>
      <c r="D26" s="83" t="s">
        <v>0</v>
      </c>
      <c r="E26" s="20" t="s">
        <v>1</v>
      </c>
      <c r="F26" s="80">
        <v>103330</v>
      </c>
      <c r="G26" s="35">
        <f>(0.42*2.96)+(0.01*40.33)+(28.31*1.07)+(0.0098*547.04)</f>
        <v>37.299191999999998</v>
      </c>
      <c r="H26" s="35">
        <f>(1.2*24.11)+(0.6*20.08)</f>
        <v>40.98</v>
      </c>
      <c r="I26" s="48">
        <f>G26*1.2447</f>
        <v>46.426304282399997</v>
      </c>
      <c r="J26" s="38">
        <f>H26*1.2447</f>
        <v>51.007805999999995</v>
      </c>
      <c r="K26" s="48">
        <f>I26*C26</f>
        <v>21421.096795899357</v>
      </c>
      <c r="L26" s="91">
        <f>J26*C26</f>
        <v>23535.001688399996</v>
      </c>
      <c r="M26" s="46">
        <f>K26+L26-0.01</f>
        <v>44956.088484299347</v>
      </c>
    </row>
    <row r="27" spans="1:14" ht="26.25" customHeight="1" x14ac:dyDescent="0.25">
      <c r="A27" s="27" t="s">
        <v>31</v>
      </c>
      <c r="B27" s="34" t="s">
        <v>165</v>
      </c>
      <c r="C27" s="20">
        <f>2.54*5</f>
        <v>12.7</v>
      </c>
      <c r="D27" s="37" t="s">
        <v>80</v>
      </c>
      <c r="E27" s="20" t="s">
        <v>1</v>
      </c>
      <c r="F27" s="40">
        <v>101166</v>
      </c>
      <c r="G27" s="21">
        <f>(122.27*2.24)+(0.13*547.04)</f>
        <v>345.00000000000006</v>
      </c>
      <c r="H27" s="21">
        <f>(8.344*24.11)+(4.172*20.08)</f>
        <v>284.94759999999997</v>
      </c>
      <c r="I27" s="48">
        <f t="shared" ref="I27:I30" si="10">G27*1.2447</f>
        <v>429.42150000000004</v>
      </c>
      <c r="J27" s="38">
        <f t="shared" ref="J27:J30" si="11">H27*1.2447</f>
        <v>354.67427771999991</v>
      </c>
      <c r="K27" s="48">
        <f t="shared" ref="K27:K30" si="12">I27*C27</f>
        <v>5453.6530499999999</v>
      </c>
      <c r="L27" s="91">
        <f t="shared" ref="L27:L30" si="13">J27*C27</f>
        <v>4504.3633270439987</v>
      </c>
      <c r="M27" s="46">
        <f t="shared" ref="M27:M30" si="14">K27+L27</f>
        <v>9958.0163770439976</v>
      </c>
    </row>
    <row r="28" spans="1:14" ht="23.45" customHeight="1" x14ac:dyDescent="0.25">
      <c r="A28" s="27" t="s">
        <v>45</v>
      </c>
      <c r="B28" s="34" t="s">
        <v>166</v>
      </c>
      <c r="C28" s="17">
        <f>8.1*5</f>
        <v>40.5</v>
      </c>
      <c r="D28" s="13" t="s">
        <v>29</v>
      </c>
      <c r="E28" s="17" t="s">
        <v>1</v>
      </c>
      <c r="F28" s="32">
        <v>93186</v>
      </c>
      <c r="G28" s="14">
        <f>(0.006*7.36)+(0.352*6.75)+(6*0.16)+(0.35*116.76)+(0.49*10.39)+(0.018*462.11)</f>
        <v>57.655239999999999</v>
      </c>
      <c r="H28" s="14">
        <f>(0.376*24.11)+(0.188*20.08)</f>
        <v>12.840399999999999</v>
      </c>
      <c r="I28" s="48">
        <f t="shared" si="10"/>
        <v>71.763477227999999</v>
      </c>
      <c r="J28" s="38">
        <f t="shared" si="11"/>
        <v>15.982445879999998</v>
      </c>
      <c r="K28" s="48">
        <f t="shared" si="12"/>
        <v>2906.4208277339999</v>
      </c>
      <c r="L28" s="91">
        <f t="shared" si="13"/>
        <v>647.28905813999995</v>
      </c>
      <c r="M28" s="46">
        <f t="shared" si="14"/>
        <v>3553.7098858740001</v>
      </c>
    </row>
    <row r="29" spans="1:14" ht="19.5" customHeight="1" x14ac:dyDescent="0.25">
      <c r="A29" s="27" t="s">
        <v>162</v>
      </c>
      <c r="B29" s="34" t="s">
        <v>167</v>
      </c>
      <c r="C29" s="44">
        <f>8.1*5</f>
        <v>40.5</v>
      </c>
      <c r="D29" s="37" t="s">
        <v>29</v>
      </c>
      <c r="E29" s="44" t="s">
        <v>1</v>
      </c>
      <c r="F29" s="80">
        <v>93196</v>
      </c>
      <c r="G29" s="35">
        <f>(0.006*7.36)+(6*0.16)+(0.35*116.76)+(0.49*10.39)+(0.018*462.11)</f>
        <v>55.279239999999994</v>
      </c>
      <c r="H29" s="35">
        <f>(0.376*24.11)+(0.188*20.08)</f>
        <v>12.840399999999999</v>
      </c>
      <c r="I29" s="48">
        <f t="shared" si="10"/>
        <v>68.806070027999993</v>
      </c>
      <c r="J29" s="38">
        <f t="shared" si="11"/>
        <v>15.982445879999998</v>
      </c>
      <c r="K29" s="48">
        <f t="shared" si="12"/>
        <v>2786.6458361339996</v>
      </c>
      <c r="L29" s="91">
        <f t="shared" si="13"/>
        <v>647.28905813999995</v>
      </c>
      <c r="M29" s="46">
        <f t="shared" si="14"/>
        <v>3433.9348942739998</v>
      </c>
    </row>
    <row r="30" spans="1:14" ht="23.25" customHeight="1" thickBot="1" x14ac:dyDescent="0.3">
      <c r="A30" s="97" t="s">
        <v>163</v>
      </c>
      <c r="B30" s="79" t="s">
        <v>168</v>
      </c>
      <c r="C30" s="20">
        <f>6*5</f>
        <v>30</v>
      </c>
      <c r="D30" s="37" t="s">
        <v>29</v>
      </c>
      <c r="E30" s="20" t="s">
        <v>1</v>
      </c>
      <c r="F30" s="40">
        <v>93188</v>
      </c>
      <c r="G30" s="21">
        <f>(0.005*7.36)+(1.222*6.75)+(6*0.16)+(0.3*116.76)+(0.308*10.15)+(0.012*462.11)</f>
        <v>52.944819999999993</v>
      </c>
      <c r="H30" s="21">
        <f>(0.386*24.11)+(0.193*20.08)</f>
        <v>13.181899999999999</v>
      </c>
      <c r="I30" s="48">
        <f t="shared" si="10"/>
        <v>65.900417453999992</v>
      </c>
      <c r="J30" s="38">
        <f t="shared" si="11"/>
        <v>16.407510929999997</v>
      </c>
      <c r="K30" s="48">
        <f t="shared" si="12"/>
        <v>1977.0125236199997</v>
      </c>
      <c r="L30" s="91">
        <f t="shared" si="13"/>
        <v>492.22532789999991</v>
      </c>
      <c r="M30" s="46">
        <f t="shared" si="14"/>
        <v>2469.2378515199998</v>
      </c>
    </row>
    <row r="31" spans="1:14" ht="21.95" customHeight="1" thickBot="1" x14ac:dyDescent="0.3">
      <c r="A31" s="6">
        <v>5</v>
      </c>
      <c r="B31" s="6" t="s">
        <v>58</v>
      </c>
      <c r="C31" s="8"/>
      <c r="D31" s="7"/>
      <c r="E31" s="7"/>
      <c r="F31" s="7"/>
      <c r="G31" s="7"/>
      <c r="H31" s="7"/>
      <c r="I31" s="7"/>
      <c r="J31" s="7"/>
      <c r="K31" s="7"/>
      <c r="L31" s="90"/>
      <c r="M31" s="49">
        <f>SUM(M32:M35)</f>
        <v>48577.993043890492</v>
      </c>
    </row>
    <row r="32" spans="1:14" ht="31.15" customHeight="1" x14ac:dyDescent="0.25">
      <c r="A32" s="41" t="s">
        <v>36</v>
      </c>
      <c r="B32" s="68" t="s">
        <v>67</v>
      </c>
      <c r="C32" s="36">
        <v>5</v>
      </c>
      <c r="D32" s="13" t="s">
        <v>37</v>
      </c>
      <c r="E32" s="36" t="s">
        <v>71</v>
      </c>
      <c r="F32" s="39">
        <v>34377</v>
      </c>
      <c r="G32" s="38">
        <v>234.12</v>
      </c>
      <c r="H32" s="38">
        <v>0</v>
      </c>
      <c r="I32" s="48">
        <f>G32*1.2447</f>
        <v>291.40916399999998</v>
      </c>
      <c r="J32" s="38">
        <f>H32*1.2447</f>
        <v>0</v>
      </c>
      <c r="K32" s="48">
        <f>I32*C32</f>
        <v>1457.0458199999998</v>
      </c>
      <c r="L32" s="91">
        <f>J32*C32</f>
        <v>0</v>
      </c>
      <c r="M32" s="46">
        <f>K32+L32</f>
        <v>1457.0458199999998</v>
      </c>
    </row>
    <row r="33" spans="1:13" ht="31.15" customHeight="1" x14ac:dyDescent="0.25">
      <c r="A33" s="41" t="s">
        <v>91</v>
      </c>
      <c r="B33" s="78" t="s">
        <v>68</v>
      </c>
      <c r="C33" s="36">
        <f>5.5*5</f>
        <v>27.5</v>
      </c>
      <c r="D33" s="13" t="s">
        <v>0</v>
      </c>
      <c r="E33" s="36" t="s">
        <v>1</v>
      </c>
      <c r="F33" s="39">
        <v>94570</v>
      </c>
      <c r="G33" s="38">
        <f>(9.2*0.19)+(0.8333*453.45)+(0.6233*24.27)</f>
        <v>394.73537600000003</v>
      </c>
      <c r="H33" s="38">
        <f>(0.519*24.11)+(0.259*20.08)</f>
        <v>17.713809999999999</v>
      </c>
      <c r="I33" s="48">
        <f t="shared" ref="I33:I35" si="15">G33*1.2447</f>
        <v>491.32712250719999</v>
      </c>
      <c r="J33" s="38">
        <f t="shared" ref="J33:J35" si="16">H33*1.2447</f>
        <v>22.048379306999998</v>
      </c>
      <c r="K33" s="48">
        <f t="shared" ref="K33:K35" si="17">I33*C33</f>
        <v>13511.495868947999</v>
      </c>
      <c r="L33" s="91">
        <f t="shared" ref="L33:L35" si="18">J33*C33</f>
        <v>606.3304309424999</v>
      </c>
      <c r="M33" s="46">
        <f t="shared" ref="M33:M35" si="19">K33+L33</f>
        <v>14117.826299890499</v>
      </c>
    </row>
    <row r="34" spans="1:13" ht="42.6" customHeight="1" x14ac:dyDescent="0.25">
      <c r="A34" s="41" t="s">
        <v>92</v>
      </c>
      <c r="B34" s="33" t="s">
        <v>69</v>
      </c>
      <c r="C34" s="36">
        <f>4*5</f>
        <v>20</v>
      </c>
      <c r="D34" s="13" t="s">
        <v>37</v>
      </c>
      <c r="E34" s="36" t="s">
        <v>1</v>
      </c>
      <c r="F34" s="39">
        <v>91314</v>
      </c>
      <c r="G34" s="38">
        <f>(457.3+392+109.73)+(10*11.13)</f>
        <v>1070.33</v>
      </c>
      <c r="H34" s="38">
        <v>0</v>
      </c>
      <c r="I34" s="48">
        <f t="shared" si="15"/>
        <v>1332.2397509999998</v>
      </c>
      <c r="J34" s="38">
        <f t="shared" si="16"/>
        <v>0</v>
      </c>
      <c r="K34" s="48">
        <f t="shared" si="17"/>
        <v>26644.795019999998</v>
      </c>
      <c r="L34" s="91">
        <f t="shared" si="18"/>
        <v>0</v>
      </c>
      <c r="M34" s="46">
        <f t="shared" si="19"/>
        <v>26644.795019999998</v>
      </c>
    </row>
    <row r="35" spans="1:13" ht="39" customHeight="1" thickBot="1" x14ac:dyDescent="0.3">
      <c r="A35" s="41" t="s">
        <v>169</v>
      </c>
      <c r="B35" s="47" t="s">
        <v>70</v>
      </c>
      <c r="C35" s="17">
        <v>5</v>
      </c>
      <c r="D35" s="13" t="s">
        <v>37</v>
      </c>
      <c r="E35" s="17" t="s">
        <v>1</v>
      </c>
      <c r="F35" s="32">
        <v>91313</v>
      </c>
      <c r="G35" s="14">
        <f>(426.82+392+93.77)+(9.8*11.13)</f>
        <v>1021.664</v>
      </c>
      <c r="H35" s="14">
        <v>0</v>
      </c>
      <c r="I35" s="48">
        <f t="shared" si="15"/>
        <v>1271.6651807999999</v>
      </c>
      <c r="J35" s="38">
        <f t="shared" si="16"/>
        <v>0</v>
      </c>
      <c r="K35" s="48">
        <f t="shared" si="17"/>
        <v>6358.3259039999994</v>
      </c>
      <c r="L35" s="91">
        <f t="shared" si="18"/>
        <v>0</v>
      </c>
      <c r="M35" s="46">
        <f t="shared" si="19"/>
        <v>6358.3259039999994</v>
      </c>
    </row>
    <row r="36" spans="1:13" ht="21.95" customHeight="1" thickBot="1" x14ac:dyDescent="0.3">
      <c r="A36" s="6">
        <v>6</v>
      </c>
      <c r="B36" s="6" t="s">
        <v>44</v>
      </c>
      <c r="C36" s="8"/>
      <c r="D36" s="7"/>
      <c r="E36" s="7"/>
      <c r="F36" s="7"/>
      <c r="G36" s="7"/>
      <c r="H36" s="7"/>
      <c r="I36" s="7"/>
      <c r="J36" s="7"/>
      <c r="K36" s="7"/>
      <c r="L36" s="90"/>
      <c r="M36" s="49">
        <f>SUM(M37:M41)</f>
        <v>37820.732275164497</v>
      </c>
    </row>
    <row r="37" spans="1:13" ht="22.5" customHeight="1" x14ac:dyDescent="0.25">
      <c r="A37" s="41" t="s">
        <v>41</v>
      </c>
      <c r="B37" s="68" t="s">
        <v>172</v>
      </c>
      <c r="C37" s="36">
        <f>11.8*5</f>
        <v>59</v>
      </c>
      <c r="D37" s="37" t="s">
        <v>80</v>
      </c>
      <c r="E37" s="36" t="s">
        <v>1</v>
      </c>
      <c r="F37" s="80">
        <v>94319</v>
      </c>
      <c r="G37" s="38">
        <f>(1.3889*39.32)</f>
        <v>54.611547999999999</v>
      </c>
      <c r="H37" s="38">
        <f>(0.0054*314.11)+(0.0006*69.74)+(0.7866*20.08)+(0.1962*41.92)</f>
        <v>25.757669999999997</v>
      </c>
      <c r="I37" s="48">
        <f>G37*1.2447</f>
        <v>67.9749937956</v>
      </c>
      <c r="J37" s="38">
        <f>H37*1.2447</f>
        <v>32.060571848999992</v>
      </c>
      <c r="K37" s="48">
        <f>I37*C37</f>
        <v>4010.5246339403998</v>
      </c>
      <c r="L37" s="91">
        <f>J37*C37</f>
        <v>1891.5737390909994</v>
      </c>
      <c r="M37" s="46">
        <f>K37+L37</f>
        <v>5902.0983730313992</v>
      </c>
    </row>
    <row r="38" spans="1:13" ht="27.75" customHeight="1" x14ac:dyDescent="0.25">
      <c r="A38" s="41" t="s">
        <v>170</v>
      </c>
      <c r="B38" s="34" t="s">
        <v>173</v>
      </c>
      <c r="C38" s="36">
        <f>3.93*5</f>
        <v>19.650000000000002</v>
      </c>
      <c r="D38" s="37" t="s">
        <v>80</v>
      </c>
      <c r="E38" s="17" t="s">
        <v>1</v>
      </c>
      <c r="F38" s="32">
        <v>100324</v>
      </c>
      <c r="G38" s="14">
        <f>(0.595*74.07)+(0.595*73.68)</f>
        <v>87.911249999999995</v>
      </c>
      <c r="H38" s="14">
        <f>(1.579*24.11)+(0.634*20.08)</f>
        <v>50.800409999999999</v>
      </c>
      <c r="I38" s="48">
        <f t="shared" ref="I38:I41" si="20">G38*1.2447</f>
        <v>109.42313287499999</v>
      </c>
      <c r="J38" s="38">
        <f t="shared" ref="J38:J41" si="21">H38*1.2447</f>
        <v>63.231270326999997</v>
      </c>
      <c r="K38" s="48">
        <f t="shared" ref="K38:K41" si="22">I38*C38</f>
        <v>2150.16456099375</v>
      </c>
      <c r="L38" s="91">
        <f t="shared" ref="L38:L41" si="23">J38*C38</f>
        <v>1242.49446192555</v>
      </c>
      <c r="M38" s="46">
        <f t="shared" ref="M38:M41" si="24">K38+L38</f>
        <v>3392.6590229192998</v>
      </c>
    </row>
    <row r="39" spans="1:13" ht="27.6" customHeight="1" x14ac:dyDescent="0.25">
      <c r="A39" s="41" t="s">
        <v>93</v>
      </c>
      <c r="B39" s="34" t="s">
        <v>174</v>
      </c>
      <c r="C39" s="17">
        <f>40.5*5</f>
        <v>202.5</v>
      </c>
      <c r="D39" s="13" t="s">
        <v>0</v>
      </c>
      <c r="E39" s="17" t="s">
        <v>1</v>
      </c>
      <c r="F39" s="32">
        <v>87690</v>
      </c>
      <c r="G39" s="14">
        <f>(0.0607*646.11)</f>
        <v>39.218876999999999</v>
      </c>
      <c r="H39" s="14">
        <f>(0.285*24.11)+(0.142*20.08)</f>
        <v>9.7227099999999993</v>
      </c>
      <c r="I39" s="48">
        <f t="shared" si="20"/>
        <v>48.815736201899995</v>
      </c>
      <c r="J39" s="38">
        <f t="shared" si="21"/>
        <v>12.101857136999998</v>
      </c>
      <c r="K39" s="48">
        <f t="shared" si="22"/>
        <v>9885.1865808847488</v>
      </c>
      <c r="L39" s="91">
        <f t="shared" si="23"/>
        <v>2450.6260702424997</v>
      </c>
      <c r="M39" s="46">
        <f t="shared" si="24"/>
        <v>12335.812651127249</v>
      </c>
    </row>
    <row r="40" spans="1:13" ht="27.6" customHeight="1" x14ac:dyDescent="0.25">
      <c r="A40" s="41" t="s">
        <v>94</v>
      </c>
      <c r="B40" s="34" t="s">
        <v>175</v>
      </c>
      <c r="C40" s="17">
        <f>5*40.5</f>
        <v>202.5</v>
      </c>
      <c r="D40" s="13" t="s">
        <v>0</v>
      </c>
      <c r="E40" s="17" t="s">
        <v>1</v>
      </c>
      <c r="F40" s="32">
        <v>87250</v>
      </c>
      <c r="G40" s="14">
        <f>(1.071*29.4)+(9.1325*0.75)+(0.188*4.4)</f>
        <v>39.163974999999994</v>
      </c>
      <c r="H40" s="14">
        <f>(0.5143*23.98)+(0.1666*20.08)</f>
        <v>15.678242000000001</v>
      </c>
      <c r="I40" s="48">
        <f t="shared" si="20"/>
        <v>48.747399682499989</v>
      </c>
      <c r="J40" s="38">
        <f t="shared" si="21"/>
        <v>19.514707817400001</v>
      </c>
      <c r="K40" s="48">
        <f t="shared" si="22"/>
        <v>9871.348435706248</v>
      </c>
      <c r="L40" s="91">
        <f t="shared" si="23"/>
        <v>3951.7283330235005</v>
      </c>
      <c r="M40" s="46">
        <f t="shared" si="24"/>
        <v>13823.076768729748</v>
      </c>
    </row>
    <row r="41" spans="1:13" ht="20.25" customHeight="1" thickBot="1" x14ac:dyDescent="0.3">
      <c r="A41" s="41" t="s">
        <v>95</v>
      </c>
      <c r="B41" s="77" t="s">
        <v>176</v>
      </c>
      <c r="C41" s="17">
        <f>5*49.32</f>
        <v>246.6</v>
      </c>
      <c r="D41" s="13" t="s">
        <v>29</v>
      </c>
      <c r="E41" s="17" t="s">
        <v>1</v>
      </c>
      <c r="F41" s="32">
        <v>88649</v>
      </c>
      <c r="G41" s="14">
        <f>(0.15*29.4)+(0.6392*0.75)+(0.09*4.4)</f>
        <v>5.2853999999999992</v>
      </c>
      <c r="H41" s="14">
        <f>(0.0764*23.98)+(0.0296*20.08)</f>
        <v>2.4264399999999999</v>
      </c>
      <c r="I41" s="48">
        <f t="shared" si="20"/>
        <v>6.5787373799999989</v>
      </c>
      <c r="J41" s="38">
        <f t="shared" si="21"/>
        <v>3.0201898679999997</v>
      </c>
      <c r="K41" s="48">
        <f t="shared" si="22"/>
        <v>1622.3166379079996</v>
      </c>
      <c r="L41" s="91">
        <f t="shared" si="23"/>
        <v>744.77882144879993</v>
      </c>
      <c r="M41" s="46">
        <f>K41+L41-0.01</f>
        <v>2367.0854593567992</v>
      </c>
    </row>
    <row r="42" spans="1:13" ht="21.95" customHeight="1" thickBot="1" x14ac:dyDescent="0.3">
      <c r="A42" s="6">
        <v>7</v>
      </c>
      <c r="B42" s="6" t="s">
        <v>59</v>
      </c>
      <c r="C42" s="8"/>
      <c r="D42" s="7"/>
      <c r="E42" s="7"/>
      <c r="F42" s="7"/>
      <c r="G42" s="7"/>
      <c r="H42" s="7"/>
      <c r="I42" s="7"/>
      <c r="J42" s="7"/>
      <c r="K42" s="7"/>
      <c r="L42" s="90"/>
      <c r="M42" s="49">
        <f>SUM(M43:M48)</f>
        <v>83306.315640730507</v>
      </c>
    </row>
    <row r="43" spans="1:13" ht="31.15" customHeight="1" x14ac:dyDescent="0.25">
      <c r="A43" s="41" t="s">
        <v>40</v>
      </c>
      <c r="B43" s="79" t="s">
        <v>72</v>
      </c>
      <c r="C43" s="94">
        <f>4*5</f>
        <v>20</v>
      </c>
      <c r="D43" s="13" t="s">
        <v>37</v>
      </c>
      <c r="E43" s="20" t="s">
        <v>1</v>
      </c>
      <c r="F43" s="43">
        <v>92558</v>
      </c>
      <c r="G43" s="14">
        <f>(3.5*12.65)+(13.5*16.81)+(3*11.23)+(33.47)+(1.65*13.54)+(406.43)</f>
        <v>767.14100000000008</v>
      </c>
      <c r="H43" s="14">
        <f>(2.594*21.04)+(11.241*23.77)</f>
        <v>321.77632999999997</v>
      </c>
      <c r="I43" s="48">
        <f>G43*1.2447</f>
        <v>954.86040270000001</v>
      </c>
      <c r="J43" s="38">
        <f>H43*1.2447</f>
        <v>400.51499795099994</v>
      </c>
      <c r="K43" s="48">
        <f>I43*C43</f>
        <v>19097.208053999999</v>
      </c>
      <c r="L43" s="91">
        <f>J43*C43</f>
        <v>8010.2999590199988</v>
      </c>
      <c r="M43" s="46">
        <f>K43+L43</f>
        <v>27107.508013019997</v>
      </c>
    </row>
    <row r="44" spans="1:13" ht="30.6" customHeight="1" x14ac:dyDescent="0.25">
      <c r="A44" s="41" t="s">
        <v>96</v>
      </c>
      <c r="B44" s="34" t="s">
        <v>73</v>
      </c>
      <c r="C44" s="95">
        <f>5*60.37</f>
        <v>301.84999999999997</v>
      </c>
      <c r="D44" s="13" t="s">
        <v>0</v>
      </c>
      <c r="E44" s="20" t="s">
        <v>1</v>
      </c>
      <c r="F44" s="13">
        <v>92543</v>
      </c>
      <c r="G44" s="14">
        <f>(0.634*16.81)+(0.03*13.66)</f>
        <v>11.06734</v>
      </c>
      <c r="H44" s="14">
        <f>(0.065*21.04)+(0.118*23.77)+(0.0046*30.9)+(0.0064*29.99)</f>
        <v>4.5065359999999997</v>
      </c>
      <c r="I44" s="48">
        <f t="shared" ref="I44:I48" si="25">G44*1.2447</f>
        <v>13.775518097999999</v>
      </c>
      <c r="J44" s="38">
        <f t="shared" ref="J44:J48" si="26">H44*1.2447</f>
        <v>5.6092853591999994</v>
      </c>
      <c r="K44" s="48">
        <f t="shared" ref="K44:K48" si="27">I44*C44</f>
        <v>4158.1401378812989</v>
      </c>
      <c r="L44" s="91">
        <f t="shared" ref="L44:L48" si="28">J44*C44</f>
        <v>1693.1627856745197</v>
      </c>
      <c r="M44" s="46">
        <f t="shared" ref="M44:M48" si="29">K44+L44</f>
        <v>5851.3029235558188</v>
      </c>
    </row>
    <row r="45" spans="1:13" ht="30.6" customHeight="1" x14ac:dyDescent="0.25">
      <c r="A45" s="41" t="s">
        <v>64</v>
      </c>
      <c r="B45" s="34" t="s">
        <v>74</v>
      </c>
      <c r="C45" s="95">
        <f>5*60.37</f>
        <v>301.84999999999997</v>
      </c>
      <c r="D45" s="13" t="s">
        <v>0</v>
      </c>
      <c r="E45" s="20" t="s">
        <v>1</v>
      </c>
      <c r="F45" s="13">
        <v>94210</v>
      </c>
      <c r="G45" s="14">
        <f>(1.26*0.27)+(1.26*4.05)+(1.357*29.23)</f>
        <v>45.108309999999996</v>
      </c>
      <c r="H45" s="14">
        <f>(0.166*20.08)+(0.128*23.55)+(0.0053*30.9)+(0.0073*29.99)</f>
        <v>6.7303770000000007</v>
      </c>
      <c r="I45" s="48">
        <f t="shared" si="25"/>
        <v>56.146313456999991</v>
      </c>
      <c r="J45" s="38">
        <f t="shared" si="26"/>
        <v>8.3773002518999995</v>
      </c>
      <c r="K45" s="48">
        <f t="shared" si="27"/>
        <v>16947.764716995447</v>
      </c>
      <c r="L45" s="91">
        <f t="shared" si="28"/>
        <v>2528.6880810360144</v>
      </c>
      <c r="M45" s="46">
        <f t="shared" si="29"/>
        <v>19476.45279803146</v>
      </c>
    </row>
    <row r="46" spans="1:13" ht="22.15" customHeight="1" x14ac:dyDescent="0.25">
      <c r="A46" s="41" t="s">
        <v>65</v>
      </c>
      <c r="B46" s="34" t="s">
        <v>75</v>
      </c>
      <c r="C46" s="95">
        <f>5*8.05</f>
        <v>40.25</v>
      </c>
      <c r="D46" s="13" t="s">
        <v>29</v>
      </c>
      <c r="E46" s="20" t="s">
        <v>1</v>
      </c>
      <c r="F46" s="13">
        <v>94223</v>
      </c>
      <c r="G46" s="14">
        <f>(4.2*0.27)+(4.2*4.05)+(1.029*61.83)</f>
        <v>81.76706999999999</v>
      </c>
      <c r="H46" s="14">
        <f>(0.073*20.08)+(0.06*23.55)+(0.0018*30.9)+(0.0026*29.99)</f>
        <v>3.0124339999999998</v>
      </c>
      <c r="I46" s="48">
        <f t="shared" si="25"/>
        <v>101.77547202899999</v>
      </c>
      <c r="J46" s="38">
        <f t="shared" si="26"/>
        <v>3.7495765997999997</v>
      </c>
      <c r="K46" s="48">
        <f t="shared" si="27"/>
        <v>4096.4627491672491</v>
      </c>
      <c r="L46" s="91">
        <f t="shared" si="28"/>
        <v>150.92045814194998</v>
      </c>
      <c r="M46" s="46">
        <f t="shared" si="29"/>
        <v>4247.383207309199</v>
      </c>
    </row>
    <row r="47" spans="1:13" ht="23.25" customHeight="1" x14ac:dyDescent="0.25">
      <c r="A47" s="41" t="s">
        <v>66</v>
      </c>
      <c r="B47" s="34" t="s">
        <v>179</v>
      </c>
      <c r="C47" s="95">
        <f>(40.5+14.4)*5</f>
        <v>274.5</v>
      </c>
      <c r="D47" s="13" t="s">
        <v>0</v>
      </c>
      <c r="E47" s="20" t="s">
        <v>1</v>
      </c>
      <c r="F47" s="13">
        <v>96111</v>
      </c>
      <c r="G47" s="14">
        <f>(1.0363*30.19)+(2.2212*6.13)+(2.0446*2.31)+(0.0204*28.91)+(0.0336*49.56)+(0.0616*23.23)</f>
        <v>53.310827000000003</v>
      </c>
      <c r="H47" s="14">
        <f>(0.6968*27.5)</f>
        <v>19.161999999999999</v>
      </c>
      <c r="I47" s="48">
        <f t="shared" si="25"/>
        <v>66.355986366899998</v>
      </c>
      <c r="J47" s="38">
        <f t="shared" si="26"/>
        <v>23.850941399999996</v>
      </c>
      <c r="K47" s="48">
        <f t="shared" si="27"/>
        <v>18214.718257714048</v>
      </c>
      <c r="L47" s="91">
        <f t="shared" si="28"/>
        <v>6547.0834142999993</v>
      </c>
      <c r="M47" s="46">
        <f>K47+L47-0.01</f>
        <v>24761.791672014049</v>
      </c>
    </row>
    <row r="48" spans="1:13" ht="25.15" customHeight="1" thickBot="1" x14ac:dyDescent="0.3">
      <c r="A48" s="41" t="s">
        <v>178</v>
      </c>
      <c r="B48" s="79" t="s">
        <v>103</v>
      </c>
      <c r="C48" s="96">
        <f>5*52.12</f>
        <v>260.59999999999997</v>
      </c>
      <c r="D48" s="13" t="s">
        <v>29</v>
      </c>
      <c r="E48" s="20" t="s">
        <v>71</v>
      </c>
      <c r="F48" s="40">
        <v>36250</v>
      </c>
      <c r="G48" s="14">
        <v>5.74</v>
      </c>
      <c r="H48" s="14">
        <v>0</v>
      </c>
      <c r="I48" s="48">
        <f t="shared" si="25"/>
        <v>7.1445780000000001</v>
      </c>
      <c r="J48" s="38">
        <f t="shared" si="26"/>
        <v>0</v>
      </c>
      <c r="K48" s="48">
        <f t="shared" si="27"/>
        <v>1861.8770267999998</v>
      </c>
      <c r="L48" s="91">
        <f t="shared" si="28"/>
        <v>0</v>
      </c>
      <c r="M48" s="46">
        <f t="shared" si="29"/>
        <v>1861.8770267999998</v>
      </c>
    </row>
    <row r="49" spans="1:14" ht="21.95" customHeight="1" thickBot="1" x14ac:dyDescent="0.3">
      <c r="A49" s="6">
        <v>8</v>
      </c>
      <c r="B49" s="6" t="s">
        <v>54</v>
      </c>
      <c r="C49" s="8"/>
      <c r="D49" s="7"/>
      <c r="E49" s="7"/>
      <c r="F49" s="7"/>
      <c r="G49" s="7"/>
      <c r="H49" s="7"/>
      <c r="I49" s="7"/>
      <c r="J49" s="7"/>
      <c r="K49" s="7"/>
      <c r="L49" s="90"/>
      <c r="M49" s="49">
        <f>SUM(M50:M61)</f>
        <v>26544.333781891797</v>
      </c>
    </row>
    <row r="50" spans="1:14" ht="30" customHeight="1" x14ac:dyDescent="0.25">
      <c r="A50" s="41" t="s">
        <v>184</v>
      </c>
      <c r="B50" s="68" t="s">
        <v>131</v>
      </c>
      <c r="C50" s="36">
        <v>5</v>
      </c>
      <c r="D50" s="13" t="s">
        <v>37</v>
      </c>
      <c r="E50" s="36" t="s">
        <v>1</v>
      </c>
      <c r="F50" s="39">
        <v>101498</v>
      </c>
      <c r="G50" s="38">
        <f>(27.36+5.92)+(3*10.73)+(2*1.56)+(37.22)+(4*0.47)+(0.06*55.49)+(40.27)+(197.85)+(0.1664*3.89)+(2*0.32)+(12.41+20.66+23.13+67.71+159.32+452.38)+(1.95*51.69)+(6.05*20.43)+(16.65*22.82)</f>
        <v>1690.386696</v>
      </c>
      <c r="H50" s="38">
        <f>(0.3897*21.56)+(3.5078*25.72)</f>
        <v>98.622547999999995</v>
      </c>
      <c r="I50" s="48">
        <f>G50*1.2447</f>
        <v>2104.0243205111997</v>
      </c>
      <c r="J50" s="38">
        <f>H50*1.2447</f>
        <v>122.75548549559998</v>
      </c>
      <c r="K50" s="48">
        <f>I50*C50</f>
        <v>10520.121602555999</v>
      </c>
      <c r="L50" s="91">
        <f>J50*C50</f>
        <v>613.77742747799994</v>
      </c>
      <c r="M50" s="46">
        <f>K50+L50</f>
        <v>11133.899030033999</v>
      </c>
      <c r="N50" s="45"/>
    </row>
    <row r="51" spans="1:14" ht="25.5" customHeight="1" x14ac:dyDescent="0.25">
      <c r="A51" s="41" t="s">
        <v>185</v>
      </c>
      <c r="B51" s="34" t="s">
        <v>180</v>
      </c>
      <c r="C51" s="36">
        <f>5*42</f>
        <v>210</v>
      </c>
      <c r="D51" s="37" t="s">
        <v>29</v>
      </c>
      <c r="E51" s="17" t="s">
        <v>1</v>
      </c>
      <c r="F51" s="39">
        <v>91852</v>
      </c>
      <c r="G51" s="38">
        <f>(1.017*3.4)</f>
        <v>3.4577999999999998</v>
      </c>
      <c r="H51" s="38">
        <f>(0.124*21.56)+(0.124*25.72)</f>
        <v>5.8627199999999995</v>
      </c>
      <c r="I51" s="48">
        <f t="shared" ref="I51:I61" si="30">G51*1.2447</f>
        <v>4.3039236599999997</v>
      </c>
      <c r="J51" s="38">
        <f t="shared" ref="J51:J61" si="31">H51*1.2447</f>
        <v>7.2973275839999987</v>
      </c>
      <c r="K51" s="48">
        <f t="shared" ref="K51:K61" si="32">I51*C51</f>
        <v>903.82396859999994</v>
      </c>
      <c r="L51" s="91">
        <f t="shared" ref="L51:L61" si="33">J51*C51</f>
        <v>1532.4387926399997</v>
      </c>
      <c r="M51" s="46">
        <f>K51+L51-0.01</f>
        <v>2436.2527612399995</v>
      </c>
      <c r="N51" s="45"/>
    </row>
    <row r="52" spans="1:14" ht="32.450000000000003" customHeight="1" x14ac:dyDescent="0.25">
      <c r="A52" s="41" t="s">
        <v>186</v>
      </c>
      <c r="B52" s="77" t="s">
        <v>132</v>
      </c>
      <c r="C52" s="36">
        <f>5*108</f>
        <v>540</v>
      </c>
      <c r="D52" s="37" t="s">
        <v>29</v>
      </c>
      <c r="E52" s="36" t="s">
        <v>1</v>
      </c>
      <c r="F52" s="39">
        <v>91926</v>
      </c>
      <c r="G52" s="38">
        <f>(1.2434*2.02)+(0.0094*2.92)</f>
        <v>2.5391160000000004</v>
      </c>
      <c r="H52" s="38">
        <f>(0.029*21.56)+(0.029*25.72)</f>
        <v>1.3711199999999999</v>
      </c>
      <c r="I52" s="48">
        <f t="shared" si="30"/>
        <v>3.1604376852000002</v>
      </c>
      <c r="J52" s="38">
        <f t="shared" si="31"/>
        <v>1.7066330639999998</v>
      </c>
      <c r="K52" s="48">
        <f t="shared" si="32"/>
        <v>1706.6363500080001</v>
      </c>
      <c r="L52" s="91">
        <f t="shared" si="33"/>
        <v>921.5818545599999</v>
      </c>
      <c r="M52" s="46">
        <f>K52+L52+0.01</f>
        <v>2628.2282045680004</v>
      </c>
    </row>
    <row r="53" spans="1:14" ht="27.6" customHeight="1" x14ac:dyDescent="0.25">
      <c r="A53" s="41" t="s">
        <v>187</v>
      </c>
      <c r="B53" s="34" t="s">
        <v>133</v>
      </c>
      <c r="C53" s="36">
        <f>5*2.44</f>
        <v>12.2</v>
      </c>
      <c r="D53" s="37" t="s">
        <v>29</v>
      </c>
      <c r="E53" s="36" t="s">
        <v>1</v>
      </c>
      <c r="F53" s="39">
        <v>91930</v>
      </c>
      <c r="G53" s="38">
        <f>(1.2434*4.83)+(0.0094*2.92)</f>
        <v>6.0330700000000004</v>
      </c>
      <c r="H53" s="38">
        <f>(0.051*21.56)+(0.051*25.72)</f>
        <v>2.4112799999999996</v>
      </c>
      <c r="I53" s="48">
        <f t="shared" si="30"/>
        <v>7.5093622289999997</v>
      </c>
      <c r="J53" s="38">
        <f t="shared" si="31"/>
        <v>3.0013202159999994</v>
      </c>
      <c r="K53" s="48">
        <f t="shared" si="32"/>
        <v>91.614219193799997</v>
      </c>
      <c r="L53" s="91">
        <f t="shared" si="33"/>
        <v>36.616106635199991</v>
      </c>
      <c r="M53" s="46">
        <f t="shared" ref="M51:M61" si="34">K53+L53</f>
        <v>128.23032582899998</v>
      </c>
    </row>
    <row r="54" spans="1:14" ht="29.45" customHeight="1" x14ac:dyDescent="0.25">
      <c r="A54" s="41" t="s">
        <v>188</v>
      </c>
      <c r="B54" s="79" t="s">
        <v>144</v>
      </c>
      <c r="C54" s="36">
        <f>5*15.4</f>
        <v>77</v>
      </c>
      <c r="D54" s="37" t="s">
        <v>29</v>
      </c>
      <c r="E54" s="36" t="s">
        <v>1</v>
      </c>
      <c r="F54" s="39">
        <v>91928</v>
      </c>
      <c r="G54" s="38">
        <f>(1.2434*3.36)+(0.0094*2.92)</f>
        <v>4.2052719999999999</v>
      </c>
      <c r="H54" s="38">
        <f>(0.039*21.56)+(0.039*25.72)</f>
        <v>1.8439199999999998</v>
      </c>
      <c r="I54" s="48">
        <f t="shared" si="30"/>
        <v>5.2343020584</v>
      </c>
      <c r="J54" s="38">
        <f t="shared" si="31"/>
        <v>2.2951272239999994</v>
      </c>
      <c r="K54" s="48">
        <f t="shared" si="32"/>
        <v>403.04125849679997</v>
      </c>
      <c r="L54" s="91">
        <f t="shared" si="33"/>
        <v>176.72479624799996</v>
      </c>
      <c r="M54" s="46">
        <f t="shared" si="34"/>
        <v>579.76605474479993</v>
      </c>
    </row>
    <row r="55" spans="1:14" ht="22.9" customHeight="1" x14ac:dyDescent="0.25">
      <c r="A55" s="41" t="s">
        <v>189</v>
      </c>
      <c r="B55" s="34" t="s">
        <v>134</v>
      </c>
      <c r="C55" s="36">
        <f>5*4</f>
        <v>20</v>
      </c>
      <c r="D55" s="13" t="s">
        <v>37</v>
      </c>
      <c r="E55" s="36" t="s">
        <v>1</v>
      </c>
      <c r="F55" s="39">
        <v>92000</v>
      </c>
      <c r="G55" s="38">
        <v>32.78</v>
      </c>
      <c r="H55" s="38">
        <v>0</v>
      </c>
      <c r="I55" s="48">
        <f t="shared" si="30"/>
        <v>40.801265999999998</v>
      </c>
      <c r="J55" s="38">
        <f t="shared" si="31"/>
        <v>0</v>
      </c>
      <c r="K55" s="48">
        <f t="shared" si="32"/>
        <v>816.02531999999997</v>
      </c>
      <c r="L55" s="91">
        <f t="shared" si="33"/>
        <v>0</v>
      </c>
      <c r="M55" s="46">
        <f t="shared" si="34"/>
        <v>816.02531999999997</v>
      </c>
    </row>
    <row r="56" spans="1:14" ht="22.9" customHeight="1" x14ac:dyDescent="0.25">
      <c r="A56" s="41" t="s">
        <v>190</v>
      </c>
      <c r="B56" s="34" t="s">
        <v>140</v>
      </c>
      <c r="C56" s="36">
        <f>5*12</f>
        <v>60</v>
      </c>
      <c r="D56" s="13" t="s">
        <v>37</v>
      </c>
      <c r="E56" s="36" t="s">
        <v>1</v>
      </c>
      <c r="F56" s="39">
        <v>92004</v>
      </c>
      <c r="G56" s="38">
        <v>58.17</v>
      </c>
      <c r="H56" s="38">
        <v>0</v>
      </c>
      <c r="I56" s="48">
        <f t="shared" si="30"/>
        <v>72.404198999999991</v>
      </c>
      <c r="J56" s="38">
        <f t="shared" si="31"/>
        <v>0</v>
      </c>
      <c r="K56" s="48">
        <f t="shared" si="32"/>
        <v>4344.2519399999992</v>
      </c>
      <c r="L56" s="91">
        <f t="shared" si="33"/>
        <v>0</v>
      </c>
      <c r="M56" s="46">
        <f t="shared" si="34"/>
        <v>4344.2519399999992</v>
      </c>
    </row>
    <row r="57" spans="1:14" ht="22.9" customHeight="1" x14ac:dyDescent="0.25">
      <c r="A57" s="41" t="s">
        <v>191</v>
      </c>
      <c r="B57" s="79" t="s">
        <v>142</v>
      </c>
      <c r="C57" s="36">
        <f>5*3</f>
        <v>15</v>
      </c>
      <c r="D57" s="13" t="s">
        <v>37</v>
      </c>
      <c r="E57" s="36" t="s">
        <v>1</v>
      </c>
      <c r="F57" s="39">
        <v>91961</v>
      </c>
      <c r="G57" s="38">
        <v>60.99</v>
      </c>
      <c r="H57" s="38">
        <v>0</v>
      </c>
      <c r="I57" s="48">
        <f t="shared" si="30"/>
        <v>75.914253000000002</v>
      </c>
      <c r="J57" s="38">
        <f t="shared" si="31"/>
        <v>0</v>
      </c>
      <c r="K57" s="48">
        <f t="shared" si="32"/>
        <v>1138.7137950000001</v>
      </c>
      <c r="L57" s="91">
        <f t="shared" si="33"/>
        <v>0</v>
      </c>
      <c r="M57" s="46">
        <f t="shared" si="34"/>
        <v>1138.7137950000001</v>
      </c>
    </row>
    <row r="58" spans="1:14" ht="22.9" customHeight="1" x14ac:dyDescent="0.25">
      <c r="A58" s="41" t="s">
        <v>192</v>
      </c>
      <c r="B58" s="34" t="s">
        <v>135</v>
      </c>
      <c r="C58" s="36">
        <f>5*4</f>
        <v>20</v>
      </c>
      <c r="D58" s="13" t="s">
        <v>37</v>
      </c>
      <c r="E58" s="36" t="s">
        <v>1</v>
      </c>
      <c r="F58" s="39">
        <v>91954</v>
      </c>
      <c r="G58" s="38">
        <v>11.19</v>
      </c>
      <c r="H58" s="38">
        <f>(0.317*21.56)+(0.317*25.72)</f>
        <v>14.98776</v>
      </c>
      <c r="I58" s="48">
        <f t="shared" si="30"/>
        <v>13.928192999999998</v>
      </c>
      <c r="J58" s="38">
        <f t="shared" si="31"/>
        <v>18.655264872</v>
      </c>
      <c r="K58" s="48">
        <f t="shared" si="32"/>
        <v>278.56385999999998</v>
      </c>
      <c r="L58" s="91">
        <f t="shared" si="33"/>
        <v>373.10529744000002</v>
      </c>
      <c r="M58" s="46">
        <f t="shared" si="34"/>
        <v>651.66915743999994</v>
      </c>
    </row>
    <row r="59" spans="1:14" ht="22.9" customHeight="1" x14ac:dyDescent="0.25">
      <c r="A59" s="41" t="s">
        <v>193</v>
      </c>
      <c r="B59" s="34" t="s">
        <v>136</v>
      </c>
      <c r="C59" s="92">
        <f>5*4</f>
        <v>20</v>
      </c>
      <c r="D59" s="13" t="s">
        <v>37</v>
      </c>
      <c r="E59" s="36" t="s">
        <v>1</v>
      </c>
      <c r="F59" s="39">
        <v>93655</v>
      </c>
      <c r="G59" s="38">
        <f>1.5+8.01</f>
        <v>9.51</v>
      </c>
      <c r="H59" s="38">
        <f>(0.0663*21.56)+(0.663*25.72)</f>
        <v>18.481788000000002</v>
      </c>
      <c r="I59" s="48">
        <f t="shared" si="30"/>
        <v>11.837096999999998</v>
      </c>
      <c r="J59" s="38">
        <f t="shared" si="31"/>
        <v>23.0042815236</v>
      </c>
      <c r="K59" s="48">
        <f t="shared" si="32"/>
        <v>236.74193999999997</v>
      </c>
      <c r="L59" s="91">
        <f t="shared" si="33"/>
        <v>460.08563047199999</v>
      </c>
      <c r="M59" s="46">
        <f t="shared" si="34"/>
        <v>696.82757047199993</v>
      </c>
    </row>
    <row r="60" spans="1:14" ht="22.9" customHeight="1" x14ac:dyDescent="0.25">
      <c r="A60" s="41" t="s">
        <v>194</v>
      </c>
      <c r="B60" s="34" t="s">
        <v>137</v>
      </c>
      <c r="C60" s="92">
        <v>5</v>
      </c>
      <c r="D60" s="13" t="s">
        <v>37</v>
      </c>
      <c r="E60" s="36" t="s">
        <v>1</v>
      </c>
      <c r="F60" s="39">
        <v>93658</v>
      </c>
      <c r="G60" s="38">
        <f>(1.94+11.88)</f>
        <v>13.82</v>
      </c>
      <c r="H60" s="38">
        <f>(0.1352*21.54)+(0.1352*25.72)</f>
        <v>6.3895519999999992</v>
      </c>
      <c r="I60" s="48">
        <f t="shared" si="30"/>
        <v>17.201753999999998</v>
      </c>
      <c r="J60" s="38">
        <f t="shared" si="31"/>
        <v>7.9530753743999982</v>
      </c>
      <c r="K60" s="48">
        <f t="shared" si="32"/>
        <v>86.008769999999984</v>
      </c>
      <c r="L60" s="91">
        <f t="shared" si="33"/>
        <v>39.76537687199999</v>
      </c>
      <c r="M60" s="46">
        <f t="shared" si="34"/>
        <v>125.77414687199997</v>
      </c>
    </row>
    <row r="61" spans="1:14" ht="30.6" customHeight="1" thickBot="1" x14ac:dyDescent="0.3">
      <c r="A61" s="41" t="s">
        <v>195</v>
      </c>
      <c r="B61" s="79" t="s">
        <v>138</v>
      </c>
      <c r="C61" s="36">
        <f>5*7</f>
        <v>35</v>
      </c>
      <c r="D61" s="13" t="s">
        <v>37</v>
      </c>
      <c r="E61" s="36" t="s">
        <v>1</v>
      </c>
      <c r="F61" s="39">
        <v>97589</v>
      </c>
      <c r="G61" s="38">
        <f>(16.86+7.36)</f>
        <v>24.22</v>
      </c>
      <c r="H61" s="38">
        <f>(0.2231*21.56)+(0.5355*25.72)</f>
        <v>18.583095999999998</v>
      </c>
      <c r="I61" s="48">
        <f t="shared" si="30"/>
        <v>30.146633999999995</v>
      </c>
      <c r="J61" s="38">
        <f t="shared" si="31"/>
        <v>23.130379591199997</v>
      </c>
      <c r="K61" s="48">
        <f t="shared" si="32"/>
        <v>1055.1321899999998</v>
      </c>
      <c r="L61" s="91">
        <f t="shared" si="33"/>
        <v>809.56328569199991</v>
      </c>
      <c r="M61" s="46">
        <f t="shared" si="34"/>
        <v>1864.6954756919997</v>
      </c>
    </row>
    <row r="62" spans="1:14" ht="21.95" customHeight="1" thickBot="1" x14ac:dyDescent="0.3">
      <c r="A62" s="6">
        <v>9</v>
      </c>
      <c r="B62" s="6" t="s">
        <v>48</v>
      </c>
      <c r="C62" s="8"/>
      <c r="D62" s="7"/>
      <c r="E62" s="7"/>
      <c r="F62" s="7"/>
      <c r="G62" s="7"/>
      <c r="H62" s="7"/>
      <c r="I62" s="7"/>
      <c r="J62" s="7"/>
      <c r="K62" s="7"/>
      <c r="L62" s="90"/>
      <c r="M62" s="49">
        <f>SUM(M63:M74)</f>
        <v>49847.782492534585</v>
      </c>
    </row>
    <row r="63" spans="1:14" ht="29.45" customHeight="1" x14ac:dyDescent="0.25">
      <c r="A63" s="41" t="s">
        <v>47</v>
      </c>
      <c r="B63" s="68" t="s">
        <v>106</v>
      </c>
      <c r="C63" s="36">
        <f>5*1.4</f>
        <v>7</v>
      </c>
      <c r="D63" s="37" t="s">
        <v>29</v>
      </c>
      <c r="E63" s="36" t="s">
        <v>1</v>
      </c>
      <c r="F63" s="39">
        <v>89711</v>
      </c>
      <c r="G63" s="38">
        <f>(1.0549*6.57)+(0.0163*2.74)</f>
        <v>6.9753549999999995</v>
      </c>
      <c r="H63" s="38">
        <f>(0.293*20.55)+(0.293*25.45)</f>
        <v>13.477999999999998</v>
      </c>
      <c r="I63" s="48">
        <f>G63*1.2447</f>
        <v>8.6822243684999982</v>
      </c>
      <c r="J63" s="38">
        <f>H63*1.2447</f>
        <v>16.776066599999996</v>
      </c>
      <c r="K63" s="48">
        <f t="shared" ref="K63" si="35">I63*C63</f>
        <v>60.775570579499984</v>
      </c>
      <c r="L63" s="91">
        <f t="shared" ref="L63" si="36">J63*C63</f>
        <v>117.43246619999998</v>
      </c>
      <c r="M63" s="46">
        <f t="shared" ref="M63" si="37">K63+L63</f>
        <v>178.20803677949996</v>
      </c>
    </row>
    <row r="64" spans="1:14" ht="27.6" customHeight="1" x14ac:dyDescent="0.25">
      <c r="A64" s="41" t="s">
        <v>122</v>
      </c>
      <c r="B64" s="34" t="s">
        <v>107</v>
      </c>
      <c r="C64" s="17">
        <f>5*2.6</f>
        <v>13</v>
      </c>
      <c r="D64" s="37" t="s">
        <v>29</v>
      </c>
      <c r="E64" s="17" t="s">
        <v>1</v>
      </c>
      <c r="F64" s="32">
        <v>89712</v>
      </c>
      <c r="G64" s="14">
        <f>(1.0549*10.85)+(0.0177*2.74)</f>
        <v>11.494162999999999</v>
      </c>
      <c r="H64" s="14">
        <f>(0.3182*20.55)+(0.3182*25.45)</f>
        <v>14.6372</v>
      </c>
      <c r="I64" s="48">
        <f t="shared" ref="I64:I74" si="38">G64*1.2447</f>
        <v>14.306784686099997</v>
      </c>
      <c r="J64" s="38">
        <f t="shared" ref="J64:J74" si="39">H64*1.2447</f>
        <v>18.218922839999998</v>
      </c>
      <c r="K64" s="48">
        <f t="shared" ref="K64:K74" si="40">I64*C64</f>
        <v>185.98820091929997</v>
      </c>
      <c r="L64" s="91">
        <f t="shared" ref="L64:L74" si="41">J64*C64</f>
        <v>236.84599691999998</v>
      </c>
      <c r="M64" s="46">
        <f t="shared" ref="M64:M74" si="42">K64+L64</f>
        <v>422.83419783929992</v>
      </c>
    </row>
    <row r="65" spans="1:13" ht="28.9" customHeight="1" x14ac:dyDescent="0.25">
      <c r="A65" s="41" t="s">
        <v>123</v>
      </c>
      <c r="B65" s="34" t="s">
        <v>108</v>
      </c>
      <c r="C65" s="17">
        <f>5*3</f>
        <v>15</v>
      </c>
      <c r="D65" s="37" t="s">
        <v>29</v>
      </c>
      <c r="E65" s="17" t="s">
        <v>1</v>
      </c>
      <c r="F65" s="32">
        <v>89713</v>
      </c>
      <c r="G65" s="14">
        <f>(1.0549*14.24)+(0.0212*2.74)</f>
        <v>15.079863999999999</v>
      </c>
      <c r="H65" s="14">
        <f>(0.3813*20.55)+(0.3813*25.45)</f>
        <v>17.5398</v>
      </c>
      <c r="I65" s="48">
        <f t="shared" si="38"/>
        <v>18.769906720799998</v>
      </c>
      <c r="J65" s="38">
        <f t="shared" si="39"/>
        <v>21.831789059999998</v>
      </c>
      <c r="K65" s="48">
        <f t="shared" si="40"/>
        <v>281.54860081199996</v>
      </c>
      <c r="L65" s="91">
        <f t="shared" si="41"/>
        <v>327.47683589999997</v>
      </c>
      <c r="M65" s="46">
        <f t="shared" si="42"/>
        <v>609.02543671199987</v>
      </c>
    </row>
    <row r="66" spans="1:13" ht="28.9" customHeight="1" x14ac:dyDescent="0.25">
      <c r="A66" s="41" t="s">
        <v>124</v>
      </c>
      <c r="B66" s="34" t="s">
        <v>109</v>
      </c>
      <c r="C66" s="17">
        <f>5*14.61</f>
        <v>73.05</v>
      </c>
      <c r="D66" s="37" t="s">
        <v>29</v>
      </c>
      <c r="E66" s="17" t="s">
        <v>1</v>
      </c>
      <c r="F66" s="32">
        <v>89714</v>
      </c>
      <c r="G66" s="14">
        <f>(1.0549*15.04)+(0.0247*2.74)</f>
        <v>15.933373999999999</v>
      </c>
      <c r="H66" s="14">
        <f>(0.4444*20.55)+(0.4444*25.45)</f>
        <v>20.442399999999999</v>
      </c>
      <c r="I66" s="48">
        <f t="shared" si="38"/>
        <v>19.832270617799995</v>
      </c>
      <c r="J66" s="38">
        <f t="shared" si="39"/>
        <v>25.444655279999996</v>
      </c>
      <c r="K66" s="48">
        <f t="shared" si="40"/>
        <v>1448.7473686302897</v>
      </c>
      <c r="L66" s="91">
        <f t="shared" si="41"/>
        <v>1858.7320682039997</v>
      </c>
      <c r="M66" s="46">
        <f t="shared" si="42"/>
        <v>3307.4794368342891</v>
      </c>
    </row>
    <row r="67" spans="1:13" ht="22.5" customHeight="1" x14ac:dyDescent="0.25">
      <c r="A67" s="41" t="s">
        <v>125</v>
      </c>
      <c r="B67" s="34" t="s">
        <v>110</v>
      </c>
      <c r="C67" s="17">
        <f>5*2</f>
        <v>10</v>
      </c>
      <c r="D67" s="37" t="s">
        <v>37</v>
      </c>
      <c r="E67" s="17" t="s">
        <v>71</v>
      </c>
      <c r="F67" s="32">
        <v>20157</v>
      </c>
      <c r="G67" s="14">
        <v>19.579999999999998</v>
      </c>
      <c r="H67" s="14">
        <v>0</v>
      </c>
      <c r="I67" s="48">
        <f t="shared" si="38"/>
        <v>24.371225999999997</v>
      </c>
      <c r="J67" s="38">
        <f t="shared" si="39"/>
        <v>0</v>
      </c>
      <c r="K67" s="48">
        <f t="shared" si="40"/>
        <v>243.71225999999996</v>
      </c>
      <c r="L67" s="91">
        <f t="shared" si="41"/>
        <v>0</v>
      </c>
      <c r="M67" s="46">
        <f t="shared" si="42"/>
        <v>243.71225999999996</v>
      </c>
    </row>
    <row r="68" spans="1:13" ht="18.75" customHeight="1" x14ac:dyDescent="0.25">
      <c r="A68" s="41" t="s">
        <v>126</v>
      </c>
      <c r="B68" s="34" t="s">
        <v>111</v>
      </c>
      <c r="C68" s="17">
        <v>5</v>
      </c>
      <c r="D68" s="37" t="s">
        <v>37</v>
      </c>
      <c r="E68" s="17" t="s">
        <v>71</v>
      </c>
      <c r="F68" s="32">
        <v>11655</v>
      </c>
      <c r="G68" s="14">
        <v>17.16</v>
      </c>
      <c r="H68" s="14">
        <v>0</v>
      </c>
      <c r="I68" s="48">
        <f t="shared" si="38"/>
        <v>21.359051999999998</v>
      </c>
      <c r="J68" s="38">
        <f t="shared" si="39"/>
        <v>0</v>
      </c>
      <c r="K68" s="48">
        <f t="shared" si="40"/>
        <v>106.79525999999998</v>
      </c>
      <c r="L68" s="91">
        <f t="shared" si="41"/>
        <v>0</v>
      </c>
      <c r="M68" s="46">
        <f t="shared" si="42"/>
        <v>106.79525999999998</v>
      </c>
    </row>
    <row r="69" spans="1:13" ht="27" customHeight="1" x14ac:dyDescent="0.25">
      <c r="A69" s="41" t="s">
        <v>127</v>
      </c>
      <c r="B69" s="34" t="s">
        <v>112</v>
      </c>
      <c r="C69" s="17">
        <v>5</v>
      </c>
      <c r="D69" s="37" t="s">
        <v>37</v>
      </c>
      <c r="E69" s="17" t="s">
        <v>1</v>
      </c>
      <c r="F69" s="32">
        <v>104327</v>
      </c>
      <c r="G69" s="93">
        <f>(0.0049*69.17)+(9.32)+(0.0075*78.37)+(0.036*2.74)</f>
        <v>10.345348000000001</v>
      </c>
      <c r="H69" s="14">
        <f>(0.1652*20.55)+(0.1652*25.45)</f>
        <v>7.5992000000000006</v>
      </c>
      <c r="I69" s="48">
        <f t="shared" si="38"/>
        <v>12.876854655600001</v>
      </c>
      <c r="J69" s="38">
        <f t="shared" si="39"/>
        <v>9.4587242400000004</v>
      </c>
      <c r="K69" s="48">
        <f t="shared" si="40"/>
        <v>64.384273278000009</v>
      </c>
      <c r="L69" s="91">
        <f t="shared" si="41"/>
        <v>47.293621200000004</v>
      </c>
      <c r="M69" s="46">
        <f t="shared" si="42"/>
        <v>111.67789447800001</v>
      </c>
    </row>
    <row r="70" spans="1:13" ht="27.6" customHeight="1" x14ac:dyDescent="0.25">
      <c r="A70" s="41" t="s">
        <v>128</v>
      </c>
      <c r="B70" s="34" t="s">
        <v>115</v>
      </c>
      <c r="C70" s="17">
        <v>5</v>
      </c>
      <c r="D70" s="37" t="s">
        <v>37</v>
      </c>
      <c r="E70" s="17" t="s">
        <v>1</v>
      </c>
      <c r="F70" s="32">
        <v>89707</v>
      </c>
      <c r="G70" s="14">
        <f>(0.0292*69.17)+22.13+(0.044*78.37)+(0.0154*2.74)</f>
        <v>27.640239999999999</v>
      </c>
      <c r="H70" s="14">
        <f>(0.3987*20.55)+(0.3987*25.45)</f>
        <v>18.340199999999999</v>
      </c>
      <c r="I70" s="48">
        <f t="shared" si="38"/>
        <v>34.403806727999999</v>
      </c>
      <c r="J70" s="38">
        <f t="shared" si="39"/>
        <v>22.828046939999997</v>
      </c>
      <c r="K70" s="48">
        <f t="shared" si="40"/>
        <v>172.01903364</v>
      </c>
      <c r="L70" s="91">
        <f t="shared" si="41"/>
        <v>114.14023469999998</v>
      </c>
      <c r="M70" s="46">
        <f t="shared" si="42"/>
        <v>286.15926833999998</v>
      </c>
    </row>
    <row r="71" spans="1:13" ht="18.75" customHeight="1" x14ac:dyDescent="0.25">
      <c r="A71" s="41" t="s">
        <v>129</v>
      </c>
      <c r="B71" s="34" t="s">
        <v>113</v>
      </c>
      <c r="C71" s="17">
        <v>5</v>
      </c>
      <c r="D71" s="37" t="s">
        <v>37</v>
      </c>
      <c r="E71" s="17" t="s">
        <v>1</v>
      </c>
      <c r="F71" s="32">
        <v>98110</v>
      </c>
      <c r="G71" s="14">
        <f>349.68+(0.0141*210.66)</f>
        <v>352.650306</v>
      </c>
      <c r="H71" s="14">
        <f>(0.284*24.11)+(0.2231*20.08)</f>
        <v>11.327088</v>
      </c>
      <c r="I71" s="48">
        <f t="shared" si="38"/>
        <v>438.94383587819999</v>
      </c>
      <c r="J71" s="38">
        <f t="shared" si="39"/>
        <v>14.098826433599999</v>
      </c>
      <c r="K71" s="48">
        <f t="shared" si="40"/>
        <v>2194.7191793910001</v>
      </c>
      <c r="L71" s="91">
        <f t="shared" si="41"/>
        <v>70.494132167999993</v>
      </c>
      <c r="M71" s="46">
        <f t="shared" si="42"/>
        <v>2265.213311559</v>
      </c>
    </row>
    <row r="72" spans="1:13" ht="29.45" customHeight="1" x14ac:dyDescent="0.25">
      <c r="A72" s="41" t="s">
        <v>130</v>
      </c>
      <c r="B72" s="34" t="s">
        <v>114</v>
      </c>
      <c r="C72" s="17">
        <v>5</v>
      </c>
      <c r="D72" s="37" t="s">
        <v>37</v>
      </c>
      <c r="E72" s="17" t="s">
        <v>71</v>
      </c>
      <c r="F72" s="32">
        <v>39361</v>
      </c>
      <c r="G72" s="14">
        <v>1795.3</v>
      </c>
      <c r="H72" s="14">
        <v>0</v>
      </c>
      <c r="I72" s="48">
        <f t="shared" si="38"/>
        <v>2234.6099099999997</v>
      </c>
      <c r="J72" s="38">
        <f t="shared" si="39"/>
        <v>0</v>
      </c>
      <c r="K72" s="48">
        <f t="shared" si="40"/>
        <v>11173.049549999998</v>
      </c>
      <c r="L72" s="91">
        <f t="shared" si="41"/>
        <v>0</v>
      </c>
      <c r="M72" s="46">
        <f t="shared" si="42"/>
        <v>11173.049549999998</v>
      </c>
    </row>
    <row r="73" spans="1:13" ht="20.25" customHeight="1" x14ac:dyDescent="0.25">
      <c r="A73" s="41" t="s">
        <v>141</v>
      </c>
      <c r="B73" s="34" t="s">
        <v>116</v>
      </c>
      <c r="C73" s="17">
        <v>5</v>
      </c>
      <c r="D73" s="37" t="s">
        <v>37</v>
      </c>
      <c r="E73" s="17" t="s">
        <v>71</v>
      </c>
      <c r="F73" s="32">
        <v>39365</v>
      </c>
      <c r="G73" s="14">
        <v>1993.61</v>
      </c>
      <c r="H73" s="14">
        <v>0</v>
      </c>
      <c r="I73" s="48">
        <f t="shared" si="38"/>
        <v>2481.4463669999996</v>
      </c>
      <c r="J73" s="38">
        <f t="shared" si="39"/>
        <v>0</v>
      </c>
      <c r="K73" s="48">
        <f t="shared" si="40"/>
        <v>12407.231834999999</v>
      </c>
      <c r="L73" s="91">
        <f t="shared" si="41"/>
        <v>0</v>
      </c>
      <c r="M73" s="46">
        <f t="shared" si="42"/>
        <v>12407.231834999999</v>
      </c>
    </row>
    <row r="74" spans="1:13" ht="30" customHeight="1" thickBot="1" x14ac:dyDescent="0.3">
      <c r="A74" s="41" t="s">
        <v>143</v>
      </c>
      <c r="B74" s="79" t="s">
        <v>117</v>
      </c>
      <c r="C74" s="17">
        <v>5</v>
      </c>
      <c r="D74" s="37" t="s">
        <v>37</v>
      </c>
      <c r="E74" s="17" t="s">
        <v>1</v>
      </c>
      <c r="F74" s="32">
        <v>98062</v>
      </c>
      <c r="G74" s="14">
        <f>(4*541.26)+(0.0154*5837.95)+(0.2373*2231.48)+(0.0146*759.22)+(0.3733*164.28)</f>
        <v>2856.8849700000001</v>
      </c>
      <c r="H74" s="14">
        <f>(0.4019*147.34)+(0.819*64.48)+(1.0449*24.11)+(0.821*20.08)</f>
        <v>153.70328499999999</v>
      </c>
      <c r="I74" s="48">
        <f t="shared" si="38"/>
        <v>3555.9647221589998</v>
      </c>
      <c r="J74" s="38">
        <f t="shared" si="39"/>
        <v>191.31447883949997</v>
      </c>
      <c r="K74" s="48">
        <f t="shared" si="40"/>
        <v>17779.823610795</v>
      </c>
      <c r="L74" s="91">
        <f t="shared" si="41"/>
        <v>956.57239419749988</v>
      </c>
      <c r="M74" s="46">
        <f t="shared" si="42"/>
        <v>18736.396004992501</v>
      </c>
    </row>
    <row r="75" spans="1:13" ht="21.95" customHeight="1" thickBot="1" x14ac:dyDescent="0.3">
      <c r="A75" s="6">
        <v>10</v>
      </c>
      <c r="B75" s="6" t="s">
        <v>46</v>
      </c>
      <c r="C75" s="8"/>
      <c r="D75" s="7"/>
      <c r="E75" s="7"/>
      <c r="F75" s="7"/>
      <c r="G75" s="7"/>
      <c r="H75" s="7"/>
      <c r="I75" s="7"/>
      <c r="J75" s="7"/>
      <c r="K75" s="7"/>
      <c r="L75" s="90"/>
      <c r="M75" s="49">
        <f>SUM(M76:M78)</f>
        <v>3326.8967933039999</v>
      </c>
    </row>
    <row r="76" spans="1:13" ht="25.15" customHeight="1" x14ac:dyDescent="0.25">
      <c r="A76" s="41" t="s">
        <v>49</v>
      </c>
      <c r="B76" s="68" t="s">
        <v>119</v>
      </c>
      <c r="C76" s="36">
        <f>5*19</f>
        <v>95</v>
      </c>
      <c r="D76" s="13" t="s">
        <v>29</v>
      </c>
      <c r="E76" s="36" t="s">
        <v>1</v>
      </c>
      <c r="F76" s="39">
        <v>89356</v>
      </c>
      <c r="G76" s="38">
        <f>(1.0493*4.79)+(0.0886*2.74)</f>
        <v>5.2689110000000001</v>
      </c>
      <c r="H76" s="38">
        <f>(0.38*20.55)+(0.38*25.45)</f>
        <v>17.48</v>
      </c>
      <c r="I76" s="48">
        <f>G76*1.2447</f>
        <v>6.5582135216999999</v>
      </c>
      <c r="J76" s="38">
        <f>H76*1.2447</f>
        <v>21.757355999999998</v>
      </c>
      <c r="K76" s="48">
        <f t="shared" ref="K76" si="43">I76*C76</f>
        <v>623.03028456150003</v>
      </c>
      <c r="L76" s="91">
        <f t="shared" ref="L76" si="44">J76*C76</f>
        <v>2066.9488199999996</v>
      </c>
      <c r="M76" s="46">
        <f t="shared" ref="M76" si="45">K76+L76</f>
        <v>2689.9791045614998</v>
      </c>
    </row>
    <row r="77" spans="1:13" ht="28.9" customHeight="1" x14ac:dyDescent="0.25">
      <c r="A77" s="41" t="s">
        <v>97</v>
      </c>
      <c r="B77" s="34" t="s">
        <v>120</v>
      </c>
      <c r="C77" s="36">
        <f>5*3</f>
        <v>15</v>
      </c>
      <c r="D77" s="37" t="s">
        <v>37</v>
      </c>
      <c r="E77" s="36" t="s">
        <v>1</v>
      </c>
      <c r="F77" s="39">
        <v>89362</v>
      </c>
      <c r="G77" s="38">
        <f>(0.0071*69.17)+(0.84)+(0.008*78.37)+(0.0338*2.74)</f>
        <v>2.0506790000000001</v>
      </c>
      <c r="H77" s="38">
        <f>(0.152*20.55)+(0.152*25.45)</f>
        <v>6.992</v>
      </c>
      <c r="I77" s="48">
        <f t="shared" ref="I77:I78" si="46">G77*1.2447</f>
        <v>2.5524801513000002</v>
      </c>
      <c r="J77" s="38">
        <f t="shared" ref="J77:J78" si="47">H77*1.2447</f>
        <v>8.7029423999999995</v>
      </c>
      <c r="K77" s="48">
        <f t="shared" ref="K77:K78" si="48">I77*C77</f>
        <v>38.2872022695</v>
      </c>
      <c r="L77" s="91">
        <f t="shared" ref="L77:L78" si="49">J77*C77</f>
        <v>130.54413599999998</v>
      </c>
      <c r="M77" s="46">
        <f t="shared" ref="M77:M78" si="50">K77+L77</f>
        <v>168.83133826949998</v>
      </c>
    </row>
    <row r="78" spans="1:13" ht="23.45" customHeight="1" thickBot="1" x14ac:dyDescent="0.3">
      <c r="A78" s="41" t="s">
        <v>98</v>
      </c>
      <c r="B78" s="79" t="s">
        <v>121</v>
      </c>
      <c r="C78" s="17">
        <f>5*6</f>
        <v>30</v>
      </c>
      <c r="D78" s="37" t="s">
        <v>37</v>
      </c>
      <c r="E78" s="17" t="s">
        <v>1</v>
      </c>
      <c r="F78" s="32">
        <v>89375</v>
      </c>
      <c r="G78" s="14">
        <f>(0.0047*69.17)+(7.64)+(0.006*78.37)+(0.0291*2.74)</f>
        <v>8.515053</v>
      </c>
      <c r="H78" s="14">
        <f>(0.0874*20.55)+(0.0874*25.45)</f>
        <v>4.0204000000000004</v>
      </c>
      <c r="I78" s="48">
        <f t="shared" si="46"/>
        <v>10.598686469099999</v>
      </c>
      <c r="J78" s="38">
        <f t="shared" si="47"/>
        <v>5.0041918800000005</v>
      </c>
      <c r="K78" s="48">
        <f t="shared" si="48"/>
        <v>317.96059407299998</v>
      </c>
      <c r="L78" s="91">
        <f t="shared" si="49"/>
        <v>150.1257564</v>
      </c>
      <c r="M78" s="46">
        <f t="shared" si="50"/>
        <v>468.08635047299998</v>
      </c>
    </row>
    <row r="79" spans="1:13" ht="21.95" customHeight="1" thickBot="1" x14ac:dyDescent="0.3">
      <c r="A79" s="6">
        <v>11</v>
      </c>
      <c r="B79" s="6" t="s">
        <v>60</v>
      </c>
      <c r="C79" s="8"/>
      <c r="D79" s="7"/>
      <c r="E79" s="7"/>
      <c r="F79" s="7"/>
      <c r="G79" s="7"/>
      <c r="H79" s="7"/>
      <c r="I79" s="7"/>
      <c r="J79" s="7"/>
      <c r="K79" s="7"/>
      <c r="L79" s="90"/>
      <c r="M79" s="49">
        <f>SUM(M80:M83)</f>
        <v>6498.5587350119986</v>
      </c>
    </row>
    <row r="80" spans="1:13" ht="22.15" customHeight="1" x14ac:dyDescent="0.25">
      <c r="A80" s="41" t="s">
        <v>50</v>
      </c>
      <c r="B80" s="79" t="s">
        <v>61</v>
      </c>
      <c r="C80" s="36">
        <v>5</v>
      </c>
      <c r="D80" s="37" t="s">
        <v>37</v>
      </c>
      <c r="E80" s="36" t="s">
        <v>1</v>
      </c>
      <c r="F80" s="39">
        <v>86902</v>
      </c>
      <c r="G80" s="38">
        <f>(6*17.64)+(153.3)+(0.0765*92.75)</f>
        <v>266.23537499999998</v>
      </c>
      <c r="H80" s="38">
        <f>(0.8788*25.45)+(0.4443*20.08)</f>
        <v>31.287003999999996</v>
      </c>
      <c r="I80" s="48">
        <f>G80*1.2447</f>
        <v>331.38317126249996</v>
      </c>
      <c r="J80" s="38">
        <f>H80*1.2447</f>
        <v>38.942933878799991</v>
      </c>
      <c r="K80" s="48">
        <f t="shared" ref="K80" si="51">I80*C80</f>
        <v>1656.9158563124997</v>
      </c>
      <c r="L80" s="91">
        <f t="shared" ref="L80" si="52">J80*C80</f>
        <v>194.71466939399994</v>
      </c>
      <c r="M80" s="46">
        <f t="shared" ref="M80" si="53">K80+L80</f>
        <v>1851.6305257064996</v>
      </c>
    </row>
    <row r="81" spans="1:13" ht="22.15" customHeight="1" x14ac:dyDescent="0.25">
      <c r="A81" s="41" t="s">
        <v>51</v>
      </c>
      <c r="B81" s="34" t="s">
        <v>56</v>
      </c>
      <c r="C81" s="36">
        <v>5</v>
      </c>
      <c r="D81" s="37" t="s">
        <v>37</v>
      </c>
      <c r="E81" s="17" t="s">
        <v>1</v>
      </c>
      <c r="F81" s="32">
        <v>100860</v>
      </c>
      <c r="G81" s="14">
        <f>(77.7)+(0.021*4.2)</f>
        <v>77.788200000000003</v>
      </c>
      <c r="H81" s="14">
        <f>(0.4467*25.45)+(0.1407*20.08)</f>
        <v>14.193770999999998</v>
      </c>
      <c r="I81" s="48">
        <f t="shared" ref="I81:I83" si="54">G81*1.2447</f>
        <v>96.822972539999995</v>
      </c>
      <c r="J81" s="38">
        <f t="shared" ref="J81:J83" si="55">H81*1.2447</f>
        <v>17.666986763699995</v>
      </c>
      <c r="K81" s="48">
        <f t="shared" ref="K81:K83" si="56">I81*C81</f>
        <v>484.1148627</v>
      </c>
      <c r="L81" s="91">
        <f t="shared" ref="L81:L83" si="57">J81*C81</f>
        <v>88.334933818499977</v>
      </c>
      <c r="M81" s="46">
        <f t="shared" ref="M81:M83" si="58">K81+L81</f>
        <v>572.44979651849997</v>
      </c>
    </row>
    <row r="82" spans="1:13" ht="21.6" customHeight="1" x14ac:dyDescent="0.25">
      <c r="A82" s="41" t="s">
        <v>118</v>
      </c>
      <c r="B82" s="34" t="s">
        <v>62</v>
      </c>
      <c r="C82" s="17">
        <v>5</v>
      </c>
      <c r="D82" s="37" t="s">
        <v>37</v>
      </c>
      <c r="E82" s="17" t="s">
        <v>1</v>
      </c>
      <c r="F82" s="32">
        <v>86888</v>
      </c>
      <c r="G82" s="14">
        <f>(2*23.79)+(10.65)+(359.56)+(0.0881*92.75)</f>
        <v>425.961275</v>
      </c>
      <c r="H82" s="14">
        <f>(0.7791*25.45)+(0.4384*20.08)</f>
        <v>28.631167000000001</v>
      </c>
      <c r="I82" s="48">
        <f t="shared" si="54"/>
        <v>530.19399899249993</v>
      </c>
      <c r="J82" s="38">
        <f t="shared" si="55"/>
        <v>35.637213564900001</v>
      </c>
      <c r="K82" s="48">
        <f t="shared" si="56"/>
        <v>2650.9699949624996</v>
      </c>
      <c r="L82" s="91">
        <f t="shared" si="57"/>
        <v>178.18606782450001</v>
      </c>
      <c r="M82" s="46">
        <f t="shared" si="58"/>
        <v>2829.1560627869994</v>
      </c>
    </row>
    <row r="83" spans="1:13" ht="22.9" customHeight="1" thickBot="1" x14ac:dyDescent="0.3">
      <c r="A83" s="103" t="s">
        <v>196</v>
      </c>
      <c r="B83" s="79" t="s">
        <v>63</v>
      </c>
      <c r="C83" s="17">
        <v>5</v>
      </c>
      <c r="D83" s="37" t="s">
        <v>37</v>
      </c>
      <c r="E83" s="17" t="s">
        <v>1</v>
      </c>
      <c r="F83" s="32">
        <v>39398</v>
      </c>
      <c r="G83" s="14">
        <v>200.1</v>
      </c>
      <c r="H83" s="14">
        <v>0</v>
      </c>
      <c r="I83" s="48">
        <f t="shared" si="54"/>
        <v>249.06446999999997</v>
      </c>
      <c r="J83" s="38">
        <f t="shared" si="55"/>
        <v>0</v>
      </c>
      <c r="K83" s="48">
        <f t="shared" si="56"/>
        <v>1245.3223499999999</v>
      </c>
      <c r="L83" s="91">
        <f t="shared" si="57"/>
        <v>0</v>
      </c>
      <c r="M83" s="46">
        <f t="shared" si="58"/>
        <v>1245.3223499999999</v>
      </c>
    </row>
    <row r="84" spans="1:13" ht="21.95" customHeight="1" thickBot="1" x14ac:dyDescent="0.3">
      <c r="A84" s="6">
        <v>12</v>
      </c>
      <c r="B84" s="102" t="s">
        <v>101</v>
      </c>
      <c r="C84" s="8"/>
      <c r="D84" s="7"/>
      <c r="E84" s="7"/>
      <c r="F84" s="7"/>
      <c r="G84" s="7"/>
      <c r="H84" s="7"/>
      <c r="I84" s="7"/>
      <c r="J84" s="7"/>
      <c r="K84" s="7"/>
      <c r="L84" s="90"/>
      <c r="M84" s="49">
        <f>SUM(M85:M91)</f>
        <v>64974.894570056516</v>
      </c>
    </row>
    <row r="85" spans="1:13" ht="22.9" customHeight="1" x14ac:dyDescent="0.25">
      <c r="A85" s="104" t="s">
        <v>52</v>
      </c>
      <c r="B85" s="98" t="s">
        <v>84</v>
      </c>
      <c r="C85" s="17">
        <f>((92.28*2)*5)-C90</f>
        <v>866.4</v>
      </c>
      <c r="D85" s="13" t="s">
        <v>0</v>
      </c>
      <c r="E85" s="17" t="s">
        <v>1</v>
      </c>
      <c r="F85" s="82">
        <v>104641</v>
      </c>
      <c r="G85" s="14">
        <f>0.2678*13.83</f>
        <v>3.7036739999999999</v>
      </c>
      <c r="H85" s="14">
        <f>(0.1631*25.62)+(0.0544*20.08)</f>
        <v>5.2709739999999998</v>
      </c>
      <c r="I85" s="48">
        <f>G85*1.2447</f>
        <v>4.6099630277999992</v>
      </c>
      <c r="J85" s="38">
        <f>H85*1.2447</f>
        <v>6.5607813377999991</v>
      </c>
      <c r="K85" s="48">
        <f t="shared" ref="K85" si="59">I85*C85</f>
        <v>3994.0719672859191</v>
      </c>
      <c r="L85" s="91">
        <f t="shared" ref="L85" si="60">J85*C85</f>
        <v>5684.2609510699194</v>
      </c>
      <c r="M85" s="46">
        <f t="shared" ref="M85" si="61">K85+L85</f>
        <v>9678.332918355838</v>
      </c>
    </row>
    <row r="86" spans="1:13" ht="22.9" customHeight="1" x14ac:dyDescent="0.25">
      <c r="A86" s="101" t="s">
        <v>53</v>
      </c>
      <c r="B86" s="86" t="s">
        <v>105</v>
      </c>
      <c r="C86" s="17">
        <f>C85</f>
        <v>866.4</v>
      </c>
      <c r="D86" s="13" t="s">
        <v>0</v>
      </c>
      <c r="E86" s="17" t="s">
        <v>1</v>
      </c>
      <c r="F86" s="32">
        <v>88485</v>
      </c>
      <c r="G86" s="64">
        <f>(0.1666*7.64)</f>
        <v>1.272824</v>
      </c>
      <c r="H86" s="14">
        <f>(0.0666*25.62)+(0.0222*20.08)</f>
        <v>2.1520680000000003</v>
      </c>
      <c r="I86" s="48">
        <f t="shared" ref="I86:I91" si="62">G86*1.2447</f>
        <v>1.5842840327999999</v>
      </c>
      <c r="J86" s="38">
        <f t="shared" ref="J86:J91" si="63">H86*1.2447</f>
        <v>2.6786790396000004</v>
      </c>
      <c r="K86" s="48">
        <f t="shared" ref="K86:K91" si="64">I86*C86</f>
        <v>1372.6236860179199</v>
      </c>
      <c r="L86" s="91">
        <f t="shared" ref="L86:L91" si="65">J86*C86</f>
        <v>2320.8075199094401</v>
      </c>
      <c r="M86" s="46">
        <f t="shared" ref="M86:M91" si="66">K86+L86</f>
        <v>3693.4312059273598</v>
      </c>
    </row>
    <row r="87" spans="1:13" ht="22.9" customHeight="1" x14ac:dyDescent="0.25">
      <c r="A87" s="101" t="s">
        <v>99</v>
      </c>
      <c r="B87" s="79" t="s">
        <v>104</v>
      </c>
      <c r="C87" s="17">
        <f>((0.8*2.1)*10)*5</f>
        <v>84</v>
      </c>
      <c r="D87" s="13" t="s">
        <v>0</v>
      </c>
      <c r="E87" s="17" t="s">
        <v>1</v>
      </c>
      <c r="F87" s="32">
        <v>102219</v>
      </c>
      <c r="G87" s="64">
        <f>(0.014*23.98)+(0.1403*40.19)</f>
        <v>5.9743770000000005</v>
      </c>
      <c r="H87" s="14">
        <f>(0.3805*25.62)</f>
        <v>9.7484099999999998</v>
      </c>
      <c r="I87" s="48">
        <f t="shared" si="62"/>
        <v>7.4363070519000001</v>
      </c>
      <c r="J87" s="38">
        <f t="shared" si="63"/>
        <v>12.133845926999999</v>
      </c>
      <c r="K87" s="48">
        <f t="shared" si="64"/>
        <v>624.64979235960004</v>
      </c>
      <c r="L87" s="91">
        <f t="shared" si="65"/>
        <v>1019.2430578679999</v>
      </c>
      <c r="M87" s="46">
        <f t="shared" si="66"/>
        <v>1643.8928502275999</v>
      </c>
    </row>
    <row r="88" spans="1:13" ht="28.15" customHeight="1" x14ac:dyDescent="0.25">
      <c r="A88" s="101" t="s">
        <v>100</v>
      </c>
      <c r="B88" s="86" t="s">
        <v>85</v>
      </c>
      <c r="C88" s="17">
        <f>C85+C90</f>
        <v>922.8</v>
      </c>
      <c r="D88" s="13" t="s">
        <v>0</v>
      </c>
      <c r="E88" s="81" t="s">
        <v>1</v>
      </c>
      <c r="F88" s="32">
        <v>87879</v>
      </c>
      <c r="G88" s="64">
        <f>(0.0037*567.86)</f>
        <v>2.1010820000000003</v>
      </c>
      <c r="H88" s="14">
        <f>(0.0681*24.11)+(0.0255*20.08)</f>
        <v>2.1539309999999996</v>
      </c>
      <c r="I88" s="48">
        <f t="shared" si="62"/>
        <v>2.6152167654</v>
      </c>
      <c r="J88" s="38">
        <f t="shared" si="63"/>
        <v>2.6809979156999995</v>
      </c>
      <c r="K88" s="48">
        <f t="shared" si="64"/>
        <v>2413.3220311111199</v>
      </c>
      <c r="L88" s="91">
        <f t="shared" si="65"/>
        <v>2474.0248766079594</v>
      </c>
      <c r="M88" s="46">
        <f t="shared" si="66"/>
        <v>4887.3469077190794</v>
      </c>
    </row>
    <row r="89" spans="1:13" ht="30" customHeight="1" x14ac:dyDescent="0.25">
      <c r="A89" s="101" t="s">
        <v>197</v>
      </c>
      <c r="B89" s="99" t="s">
        <v>86</v>
      </c>
      <c r="C89" s="17">
        <f>C85</f>
        <v>866.4</v>
      </c>
      <c r="D89" s="13" t="s">
        <v>0</v>
      </c>
      <c r="E89" s="81" t="s">
        <v>1</v>
      </c>
      <c r="F89" s="32">
        <v>87529</v>
      </c>
      <c r="G89" s="64">
        <f>(0.0376*547.04)</f>
        <v>20.568704</v>
      </c>
      <c r="H89" s="14">
        <f>(0.47*24.11)+(0.171*20.08)</f>
        <v>14.76538</v>
      </c>
      <c r="I89" s="48">
        <f t="shared" si="62"/>
        <v>25.601865868799997</v>
      </c>
      <c r="J89" s="38">
        <f t="shared" si="63"/>
        <v>18.378468485999999</v>
      </c>
      <c r="K89" s="48">
        <f t="shared" si="64"/>
        <v>22181.456588728317</v>
      </c>
      <c r="L89" s="91">
        <f t="shared" si="65"/>
        <v>15923.105096270399</v>
      </c>
      <c r="M89" s="46">
        <f t="shared" si="66"/>
        <v>38104.561684998713</v>
      </c>
    </row>
    <row r="90" spans="1:13" ht="42" customHeight="1" x14ac:dyDescent="0.25">
      <c r="A90" s="101" t="s">
        <v>198</v>
      </c>
      <c r="B90" s="86" t="s">
        <v>87</v>
      </c>
      <c r="C90" s="17">
        <f>5*11.28</f>
        <v>56.4</v>
      </c>
      <c r="D90" s="13" t="s">
        <v>0</v>
      </c>
      <c r="E90" s="81" t="s">
        <v>1</v>
      </c>
      <c r="F90" s="32">
        <v>87527</v>
      </c>
      <c r="G90" s="64">
        <f>(0.0376*547.04)</f>
        <v>20.568704</v>
      </c>
      <c r="H90" s="14">
        <f>(0.58*24.11)+(0.211*20.08)</f>
        <v>18.220679999999998</v>
      </c>
      <c r="I90" s="48">
        <f t="shared" si="62"/>
        <v>25.601865868799997</v>
      </c>
      <c r="J90" s="38">
        <f t="shared" si="63"/>
        <v>22.679280395999996</v>
      </c>
      <c r="K90" s="48">
        <f t="shared" si="64"/>
        <v>1443.9452350003198</v>
      </c>
      <c r="L90" s="91">
        <f t="shared" si="65"/>
        <v>1279.1114143343998</v>
      </c>
      <c r="M90" s="46">
        <f t="shared" si="66"/>
        <v>2723.0566493347196</v>
      </c>
    </row>
    <row r="91" spans="1:13" ht="30" customHeight="1" thickBot="1" x14ac:dyDescent="0.3">
      <c r="A91" s="105" t="s">
        <v>199</v>
      </c>
      <c r="B91" s="100" t="s">
        <v>88</v>
      </c>
      <c r="C91" s="65">
        <f>5*11.28</f>
        <v>56.4</v>
      </c>
      <c r="D91" s="13" t="s">
        <v>0</v>
      </c>
      <c r="E91" s="81" t="s">
        <v>1</v>
      </c>
      <c r="F91" s="66">
        <v>99198</v>
      </c>
      <c r="G91" s="67">
        <f>(1.0618*23.37)+(0.422*4.4)+(4.91*2.3)</f>
        <v>37.964066000000003</v>
      </c>
      <c r="H91" s="14">
        <f>(0.6794*23.98)+(0.3089*20.08)</f>
        <v>22.494723999999998</v>
      </c>
      <c r="I91" s="48">
        <f t="shared" si="62"/>
        <v>47.253872950199998</v>
      </c>
      <c r="J91" s="38">
        <f t="shared" si="63"/>
        <v>27.999182962799996</v>
      </c>
      <c r="K91" s="48">
        <f t="shared" si="64"/>
        <v>2665.1184343912796</v>
      </c>
      <c r="L91" s="91">
        <f t="shared" si="65"/>
        <v>1579.1539191019197</v>
      </c>
      <c r="M91" s="46">
        <f t="shared" si="66"/>
        <v>4244.2723534931993</v>
      </c>
    </row>
    <row r="92" spans="1:13" ht="21.95" customHeight="1" thickBot="1" x14ac:dyDescent="0.3">
      <c r="A92" s="15" t="s">
        <v>12</v>
      </c>
      <c r="B92" s="28"/>
      <c r="C92" s="16"/>
      <c r="D92" s="16"/>
      <c r="E92" s="16"/>
      <c r="F92" s="16"/>
      <c r="G92" s="16"/>
      <c r="H92" s="16"/>
      <c r="I92" s="19"/>
      <c r="J92" s="55"/>
      <c r="K92" s="113">
        <f>M84+M79+M75+M62+M49+M42+M36+M31+M25+M18+M10+M8-0.02</f>
        <v>469037.16189122695</v>
      </c>
      <c r="L92" s="114"/>
      <c r="M92" s="115"/>
    </row>
    <row r="93" spans="1:13" x14ac:dyDescent="0.25">
      <c r="M93" s="45"/>
    </row>
    <row r="94" spans="1:13" x14ac:dyDescent="0.25">
      <c r="B94" s="22" t="s">
        <v>182</v>
      </c>
      <c r="K94" s="45"/>
    </row>
    <row r="96" spans="1:13" x14ac:dyDescent="0.25">
      <c r="E96" s="23" t="s">
        <v>15</v>
      </c>
      <c r="F96" s="23"/>
    </row>
    <row r="97" spans="5:6" x14ac:dyDescent="0.25">
      <c r="E97" s="23" t="s">
        <v>27</v>
      </c>
      <c r="F97" s="23"/>
    </row>
    <row r="98" spans="5:6" x14ac:dyDescent="0.25">
      <c r="E98" s="23" t="s">
        <v>28</v>
      </c>
      <c r="F98" s="23"/>
    </row>
  </sheetData>
  <mergeCells count="6">
    <mergeCell ref="K92:M92"/>
    <mergeCell ref="A5:M5"/>
    <mergeCell ref="A1:M1"/>
    <mergeCell ref="A2:M2"/>
    <mergeCell ref="A3:M3"/>
    <mergeCell ref="A4:M4"/>
  </mergeCells>
  <phoneticPr fontId="9" type="noConversion"/>
  <pageMargins left="0.25" right="0.25" top="0.75" bottom="0.75" header="0.3" footer="0.3"/>
  <pageSetup paperSize="9" scale="60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workbookViewId="0">
      <selection activeCell="G25" sqref="G25"/>
    </sheetView>
  </sheetViews>
  <sheetFormatPr defaultRowHeight="15" x14ac:dyDescent="0.25"/>
  <cols>
    <col min="2" max="2" width="44.7109375" customWidth="1"/>
    <col min="3" max="3" width="10" customWidth="1"/>
    <col min="4" max="4" width="14.28515625" customWidth="1"/>
    <col min="5" max="5" width="9.5703125" bestFit="1" customWidth="1"/>
    <col min="6" max="6" width="13.28515625" customWidth="1"/>
    <col min="8" max="8" width="13.42578125" customWidth="1"/>
    <col min="10" max="10" width="12.85546875" bestFit="1" customWidth="1"/>
    <col min="12" max="12" width="13" customWidth="1"/>
    <col min="13" max="13" width="9.5703125" customWidth="1"/>
    <col min="14" max="14" width="14" customWidth="1"/>
    <col min="16" max="16" width="13.7109375" customWidth="1"/>
  </cols>
  <sheetData>
    <row r="1" spans="1:16" ht="18" customHeight="1" thickBot="1" x14ac:dyDescent="0.35">
      <c r="A1" s="134" t="s">
        <v>26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6"/>
    </row>
    <row r="2" spans="1:16" ht="14.45" customHeight="1" thickBot="1" x14ac:dyDescent="0.3">
      <c r="A2" s="131" t="s">
        <v>202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3"/>
    </row>
    <row r="3" spans="1:16" ht="24.95" customHeight="1" thickBot="1" x14ac:dyDescent="0.3">
      <c r="A3" s="3" t="s">
        <v>2</v>
      </c>
      <c r="B3" s="4" t="s">
        <v>16</v>
      </c>
      <c r="C3" s="57" t="s">
        <v>17</v>
      </c>
      <c r="D3" s="69" t="s">
        <v>19</v>
      </c>
      <c r="E3" s="128" t="s">
        <v>21</v>
      </c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30"/>
    </row>
    <row r="4" spans="1:16" ht="24.95" customHeight="1" x14ac:dyDescent="0.25">
      <c r="A4" s="73"/>
      <c r="B4" s="74"/>
      <c r="C4" s="70" t="s">
        <v>18</v>
      </c>
      <c r="D4" s="62" t="s">
        <v>20</v>
      </c>
      <c r="E4" s="84" t="s">
        <v>22</v>
      </c>
      <c r="F4" s="85"/>
      <c r="G4" s="84" t="s">
        <v>102</v>
      </c>
      <c r="H4" s="85"/>
      <c r="I4" s="84" t="s">
        <v>200</v>
      </c>
      <c r="J4" s="85"/>
      <c r="K4" s="84" t="s">
        <v>201</v>
      </c>
      <c r="L4" s="85"/>
      <c r="M4" s="84" t="s">
        <v>203</v>
      </c>
      <c r="N4" s="85"/>
      <c r="O4" s="84" t="s">
        <v>204</v>
      </c>
      <c r="P4" s="85"/>
    </row>
    <row r="5" spans="1:16" ht="24.95" customHeight="1" x14ac:dyDescent="0.25">
      <c r="A5" s="5"/>
      <c r="B5" s="75"/>
      <c r="C5" s="63"/>
      <c r="D5" s="53" t="s">
        <v>24</v>
      </c>
      <c r="E5" s="50" t="s">
        <v>23</v>
      </c>
      <c r="F5" s="29" t="s">
        <v>24</v>
      </c>
      <c r="G5" s="50" t="s">
        <v>23</v>
      </c>
      <c r="H5" s="29" t="s">
        <v>24</v>
      </c>
      <c r="I5" s="50" t="s">
        <v>23</v>
      </c>
      <c r="J5" s="29" t="s">
        <v>24</v>
      </c>
      <c r="K5" s="50" t="s">
        <v>23</v>
      </c>
      <c r="L5" s="29" t="s">
        <v>24</v>
      </c>
      <c r="M5" s="50" t="s">
        <v>23</v>
      </c>
      <c r="N5" s="29" t="s">
        <v>24</v>
      </c>
      <c r="O5" s="50" t="s">
        <v>23</v>
      </c>
      <c r="P5" s="29" t="s">
        <v>24</v>
      </c>
    </row>
    <row r="6" spans="1:16" ht="24.95" customHeight="1" x14ac:dyDescent="0.25">
      <c r="A6" s="5">
        <v>1</v>
      </c>
      <c r="B6" s="75" t="str">
        <f>'Orçamento completo'!B8</f>
        <v>SERVIÇOS PRELIMINARES</v>
      </c>
      <c r="C6" s="71">
        <f>(D6*100)/D18</f>
        <v>1.6770232463601358</v>
      </c>
      <c r="D6" s="30">
        <f>'Orçamento completo'!M9</f>
        <v>7865.8622389837001</v>
      </c>
      <c r="E6" s="106">
        <f>100/6</f>
        <v>16.666666666666668</v>
      </c>
      <c r="F6" s="30">
        <f>(D6/100)*E6</f>
        <v>1310.9770398306168</v>
      </c>
      <c r="G6" s="106">
        <f>100/6</f>
        <v>16.666666666666668</v>
      </c>
      <c r="H6" s="30">
        <f>(D6/100)*G6</f>
        <v>1310.9770398306168</v>
      </c>
      <c r="I6" s="106">
        <f>100/6</f>
        <v>16.666666666666668</v>
      </c>
      <c r="J6" s="30">
        <f>(D6/100)*I6</f>
        <v>1310.9770398306168</v>
      </c>
      <c r="K6" s="106">
        <f>100/6</f>
        <v>16.666666666666668</v>
      </c>
      <c r="L6" s="30">
        <f>(D6/100)*K6</f>
        <v>1310.9770398306168</v>
      </c>
      <c r="M6" s="106">
        <f>100/6</f>
        <v>16.666666666666668</v>
      </c>
      <c r="N6" s="30">
        <f>(D6/100)*M6</f>
        <v>1310.9770398306168</v>
      </c>
      <c r="O6" s="106">
        <f>100/6</f>
        <v>16.666666666666668</v>
      </c>
      <c r="P6" s="30">
        <f>(D6/100)*O6</f>
        <v>1310.9770398306168</v>
      </c>
    </row>
    <row r="7" spans="1:16" ht="24.95" customHeight="1" x14ac:dyDescent="0.25">
      <c r="A7" s="5">
        <v>2</v>
      </c>
      <c r="B7" s="75" t="str">
        <f>'Orçamento completo'!B10</f>
        <v>INFRAESTRUTURA</v>
      </c>
      <c r="C7" s="71">
        <f>(D7*100)/D18</f>
        <v>11.338160797193771</v>
      </c>
      <c r="D7" s="30">
        <f>'Orçamento completo'!M10</f>
        <v>53180.187613821385</v>
      </c>
      <c r="E7" s="106">
        <f t="shared" ref="E7:E17" si="0">100/6</f>
        <v>16.666666666666668</v>
      </c>
      <c r="F7" s="30">
        <f>(D7/100)*E7</f>
        <v>8863.3646023035653</v>
      </c>
      <c r="G7" s="106">
        <f t="shared" ref="G7:G17" si="1">100/6</f>
        <v>16.666666666666668</v>
      </c>
      <c r="H7" s="30">
        <f t="shared" ref="H7:H17" si="2">(D7/100)*G7</f>
        <v>8863.3646023035653</v>
      </c>
      <c r="I7" s="106">
        <f t="shared" ref="I7:I17" si="3">100/6</f>
        <v>16.666666666666668</v>
      </c>
      <c r="J7" s="30">
        <f t="shared" ref="J7:J17" si="4">(D7/100)*I7</f>
        <v>8863.3646023035653</v>
      </c>
      <c r="K7" s="106">
        <f t="shared" ref="K7:K17" si="5">100/6</f>
        <v>16.666666666666668</v>
      </c>
      <c r="L7" s="30">
        <f t="shared" ref="L7:L17" si="6">(D7/100)*K7</f>
        <v>8863.3646023035653</v>
      </c>
      <c r="M7" s="106">
        <f t="shared" ref="M7:M17" si="7">100/6</f>
        <v>16.666666666666668</v>
      </c>
      <c r="N7" s="30">
        <f t="shared" ref="N7:N17" si="8">(D7/100)*M7</f>
        <v>8863.3646023035653</v>
      </c>
      <c r="O7" s="106">
        <f t="shared" ref="O7:O17" si="9">100/6</f>
        <v>16.666666666666668</v>
      </c>
      <c r="P7" s="30">
        <f t="shared" ref="P7:P17" si="10">(D7/100)*O7</f>
        <v>8863.3646023035653</v>
      </c>
    </row>
    <row r="8" spans="1:16" ht="24.95" customHeight="1" x14ac:dyDescent="0.25">
      <c r="A8" s="5">
        <v>3</v>
      </c>
      <c r="B8" s="75" t="str">
        <f>'Orçamento completo'!B18</f>
        <v>SUPRAESTRUTURA</v>
      </c>
      <c r="C8" s="71">
        <f>(D8*100)/D18</f>
        <v>4.8445281225063637</v>
      </c>
      <c r="D8" s="30">
        <f>'Orçamento completo'!M18</f>
        <v>22722.637212826194</v>
      </c>
      <c r="E8" s="106">
        <f t="shared" si="0"/>
        <v>16.666666666666668</v>
      </c>
      <c r="F8" s="30">
        <f t="shared" ref="F8:F17" si="11">(D8/100)*E8</f>
        <v>3787.1062021376993</v>
      </c>
      <c r="G8" s="106">
        <f t="shared" si="1"/>
        <v>16.666666666666668</v>
      </c>
      <c r="H8" s="30">
        <f t="shared" si="2"/>
        <v>3787.1062021376993</v>
      </c>
      <c r="I8" s="106">
        <f t="shared" si="3"/>
        <v>16.666666666666668</v>
      </c>
      <c r="J8" s="30">
        <f t="shared" si="4"/>
        <v>3787.1062021376993</v>
      </c>
      <c r="K8" s="106">
        <f t="shared" si="5"/>
        <v>16.666666666666668</v>
      </c>
      <c r="L8" s="30">
        <f t="shared" si="6"/>
        <v>3787.1062021376993</v>
      </c>
      <c r="M8" s="106">
        <f t="shared" si="7"/>
        <v>16.666666666666668</v>
      </c>
      <c r="N8" s="30">
        <f t="shared" si="8"/>
        <v>3787.1062021376993</v>
      </c>
      <c r="O8" s="106">
        <f t="shared" si="9"/>
        <v>16.666666666666668</v>
      </c>
      <c r="P8" s="30">
        <f t="shared" si="10"/>
        <v>3787.1062021376993</v>
      </c>
    </row>
    <row r="9" spans="1:16" ht="24.95" customHeight="1" x14ac:dyDescent="0.25">
      <c r="A9" s="5">
        <v>4</v>
      </c>
      <c r="B9" s="75" t="str">
        <f>'Orçamento completo'!B25</f>
        <v>VEDAÇÕES</v>
      </c>
      <c r="C9" s="71">
        <f>(D9*100)/D18</f>
        <v>13.724069801518079</v>
      </c>
      <c r="D9" s="30">
        <f>'Orçamento completo'!M25</f>
        <v>64370.987493011344</v>
      </c>
      <c r="E9" s="106">
        <f t="shared" si="0"/>
        <v>16.666666666666668</v>
      </c>
      <c r="F9" s="30">
        <f t="shared" si="11"/>
        <v>10728.497915501892</v>
      </c>
      <c r="G9" s="106">
        <f t="shared" si="1"/>
        <v>16.666666666666668</v>
      </c>
      <c r="H9" s="30">
        <f t="shared" si="2"/>
        <v>10728.497915501892</v>
      </c>
      <c r="I9" s="106">
        <f t="shared" si="3"/>
        <v>16.666666666666668</v>
      </c>
      <c r="J9" s="30">
        <f t="shared" si="4"/>
        <v>10728.497915501892</v>
      </c>
      <c r="K9" s="106">
        <f t="shared" si="5"/>
        <v>16.666666666666668</v>
      </c>
      <c r="L9" s="30">
        <f t="shared" si="6"/>
        <v>10728.497915501892</v>
      </c>
      <c r="M9" s="106">
        <f t="shared" si="7"/>
        <v>16.666666666666668</v>
      </c>
      <c r="N9" s="30">
        <f t="shared" si="8"/>
        <v>10728.497915501892</v>
      </c>
      <c r="O9" s="106">
        <f t="shared" si="9"/>
        <v>16.666666666666668</v>
      </c>
      <c r="P9" s="30">
        <f t="shared" si="10"/>
        <v>10728.497915501892</v>
      </c>
    </row>
    <row r="10" spans="1:16" ht="24.95" customHeight="1" x14ac:dyDescent="0.25">
      <c r="A10" s="5">
        <v>5</v>
      </c>
      <c r="B10" s="75" t="str">
        <f>'Orçamento completo'!B31</f>
        <v xml:space="preserve">ESQUADRIAS </v>
      </c>
      <c r="C10" s="72">
        <f>(D10*100)/D18</f>
        <v>10.356960384123267</v>
      </c>
      <c r="D10" s="58">
        <f>'Orçamento completo'!M31</f>
        <v>48577.993043890492</v>
      </c>
      <c r="E10" s="106">
        <f t="shared" si="0"/>
        <v>16.666666666666668</v>
      </c>
      <c r="F10" s="30">
        <f t="shared" si="11"/>
        <v>8096.3321739817493</v>
      </c>
      <c r="G10" s="106">
        <f t="shared" si="1"/>
        <v>16.666666666666668</v>
      </c>
      <c r="H10" s="30">
        <f t="shared" si="2"/>
        <v>8096.3321739817493</v>
      </c>
      <c r="I10" s="106">
        <f t="shared" si="3"/>
        <v>16.666666666666668</v>
      </c>
      <c r="J10" s="30">
        <f t="shared" si="4"/>
        <v>8096.3321739817493</v>
      </c>
      <c r="K10" s="106">
        <f t="shared" si="5"/>
        <v>16.666666666666668</v>
      </c>
      <c r="L10" s="30">
        <f t="shared" si="6"/>
        <v>8096.3321739817493</v>
      </c>
      <c r="M10" s="106">
        <f t="shared" si="7"/>
        <v>16.666666666666668</v>
      </c>
      <c r="N10" s="30">
        <f t="shared" si="8"/>
        <v>8096.3321739817493</v>
      </c>
      <c r="O10" s="106">
        <f t="shared" si="9"/>
        <v>16.666666666666668</v>
      </c>
      <c r="P10" s="30">
        <f t="shared" si="10"/>
        <v>8096.3321739817493</v>
      </c>
    </row>
    <row r="11" spans="1:16" ht="24.95" customHeight="1" x14ac:dyDescent="0.25">
      <c r="A11" s="5">
        <v>6</v>
      </c>
      <c r="B11" s="75" t="str">
        <f>'Orçamento completo'!B36</f>
        <v xml:space="preserve">PAVIMENTAÇÃO </v>
      </c>
      <c r="C11" s="72">
        <f>(D11*100)/D18</f>
        <v>8.0634830985812993</v>
      </c>
      <c r="D11" s="58">
        <f>'Orçamento completo'!M36</f>
        <v>37820.732275164497</v>
      </c>
      <c r="E11" s="106">
        <f t="shared" si="0"/>
        <v>16.666666666666668</v>
      </c>
      <c r="F11" s="30">
        <f t="shared" si="11"/>
        <v>6303.4553791940834</v>
      </c>
      <c r="G11" s="106">
        <f t="shared" si="1"/>
        <v>16.666666666666668</v>
      </c>
      <c r="H11" s="30">
        <f t="shared" si="2"/>
        <v>6303.4553791940834</v>
      </c>
      <c r="I11" s="106">
        <f t="shared" si="3"/>
        <v>16.666666666666668</v>
      </c>
      <c r="J11" s="30">
        <f t="shared" si="4"/>
        <v>6303.4553791940834</v>
      </c>
      <c r="K11" s="106">
        <f t="shared" si="5"/>
        <v>16.666666666666668</v>
      </c>
      <c r="L11" s="30">
        <f t="shared" si="6"/>
        <v>6303.4553791940834</v>
      </c>
      <c r="M11" s="106">
        <f t="shared" si="7"/>
        <v>16.666666666666668</v>
      </c>
      <c r="N11" s="30">
        <f t="shared" si="8"/>
        <v>6303.4553791940834</v>
      </c>
      <c r="O11" s="106">
        <f t="shared" si="9"/>
        <v>16.666666666666668</v>
      </c>
      <c r="P11" s="30">
        <f t="shared" si="10"/>
        <v>6303.4553791940834</v>
      </c>
    </row>
    <row r="12" spans="1:16" ht="24.95" customHeight="1" x14ac:dyDescent="0.25">
      <c r="A12" s="61">
        <v>7</v>
      </c>
      <c r="B12" s="76" t="str">
        <f>'Orçamento completo'!B42</f>
        <v>COBERTURA</v>
      </c>
      <c r="C12" s="72">
        <f>(D12*100)/D18</f>
        <v>17.761133319335968</v>
      </c>
      <c r="D12" s="58">
        <f>'Orçamento completo'!M42</f>
        <v>83306.315640730507</v>
      </c>
      <c r="E12" s="106">
        <f t="shared" si="0"/>
        <v>16.666666666666668</v>
      </c>
      <c r="F12" s="30">
        <f t="shared" si="11"/>
        <v>13884.385940121752</v>
      </c>
      <c r="G12" s="106">
        <f t="shared" si="1"/>
        <v>16.666666666666668</v>
      </c>
      <c r="H12" s="30">
        <f t="shared" si="2"/>
        <v>13884.385940121752</v>
      </c>
      <c r="I12" s="106">
        <f t="shared" si="3"/>
        <v>16.666666666666668</v>
      </c>
      <c r="J12" s="30">
        <f t="shared" si="4"/>
        <v>13884.385940121752</v>
      </c>
      <c r="K12" s="106">
        <f t="shared" si="5"/>
        <v>16.666666666666668</v>
      </c>
      <c r="L12" s="30">
        <f t="shared" si="6"/>
        <v>13884.385940121752</v>
      </c>
      <c r="M12" s="106">
        <f t="shared" si="7"/>
        <v>16.666666666666668</v>
      </c>
      <c r="N12" s="30">
        <f t="shared" si="8"/>
        <v>13884.385940121752</v>
      </c>
      <c r="O12" s="106">
        <f t="shared" si="9"/>
        <v>16.666666666666668</v>
      </c>
      <c r="P12" s="30">
        <f t="shared" si="10"/>
        <v>13884.385940121752</v>
      </c>
    </row>
    <row r="13" spans="1:16" ht="24.95" customHeight="1" x14ac:dyDescent="0.25">
      <c r="A13" s="5">
        <v>8</v>
      </c>
      <c r="B13" s="75" t="str">
        <f>'Orçamento completo'!B49</f>
        <v>INSTALAÇÕES ELÉTRICAS</v>
      </c>
      <c r="C13" s="71">
        <f>(D13*100)/D18</f>
        <v>5.6593242366683967</v>
      </c>
      <c r="D13" s="30">
        <f>'Orçamento completo'!M49</f>
        <v>26544.333781891797</v>
      </c>
      <c r="E13" s="106">
        <f t="shared" si="0"/>
        <v>16.666666666666668</v>
      </c>
      <c r="F13" s="30">
        <f t="shared" si="11"/>
        <v>4424.0556303152998</v>
      </c>
      <c r="G13" s="106">
        <f t="shared" si="1"/>
        <v>16.666666666666668</v>
      </c>
      <c r="H13" s="30">
        <f t="shared" si="2"/>
        <v>4424.0556303152998</v>
      </c>
      <c r="I13" s="106">
        <f t="shared" si="3"/>
        <v>16.666666666666668</v>
      </c>
      <c r="J13" s="30">
        <f t="shared" si="4"/>
        <v>4424.0556303152998</v>
      </c>
      <c r="K13" s="106">
        <f t="shared" si="5"/>
        <v>16.666666666666668</v>
      </c>
      <c r="L13" s="30">
        <f t="shared" si="6"/>
        <v>4424.0556303152998</v>
      </c>
      <c r="M13" s="106">
        <f t="shared" si="7"/>
        <v>16.666666666666668</v>
      </c>
      <c r="N13" s="30">
        <f t="shared" si="8"/>
        <v>4424.0556303152998</v>
      </c>
      <c r="O13" s="106">
        <f t="shared" si="9"/>
        <v>16.666666666666668</v>
      </c>
      <c r="P13" s="30">
        <f t="shared" si="10"/>
        <v>4424.0556303152998</v>
      </c>
    </row>
    <row r="14" spans="1:16" ht="24.95" customHeight="1" x14ac:dyDescent="0.25">
      <c r="A14" s="5">
        <v>9</v>
      </c>
      <c r="B14" s="75" t="str">
        <f>'Orçamento completo'!B62</f>
        <v xml:space="preserve">INSTALAÇÕES SANITÁRIAS </v>
      </c>
      <c r="C14" s="71">
        <f>(D14*100)/D18</f>
        <v>10.627682951930925</v>
      </c>
      <c r="D14" s="30">
        <f>'Orçamento completo'!M62</f>
        <v>49847.782492534585</v>
      </c>
      <c r="E14" s="106">
        <f t="shared" si="0"/>
        <v>16.666666666666668</v>
      </c>
      <c r="F14" s="30">
        <f t="shared" si="11"/>
        <v>8307.9637487557648</v>
      </c>
      <c r="G14" s="106">
        <f t="shared" si="1"/>
        <v>16.666666666666668</v>
      </c>
      <c r="H14" s="30">
        <f t="shared" si="2"/>
        <v>8307.9637487557648</v>
      </c>
      <c r="I14" s="106">
        <f t="shared" si="3"/>
        <v>16.666666666666668</v>
      </c>
      <c r="J14" s="30">
        <f t="shared" si="4"/>
        <v>8307.9637487557648</v>
      </c>
      <c r="K14" s="106">
        <f t="shared" si="5"/>
        <v>16.666666666666668</v>
      </c>
      <c r="L14" s="30">
        <f t="shared" si="6"/>
        <v>8307.9637487557648</v>
      </c>
      <c r="M14" s="106">
        <f t="shared" si="7"/>
        <v>16.666666666666668</v>
      </c>
      <c r="N14" s="30">
        <f t="shared" si="8"/>
        <v>8307.9637487557648</v>
      </c>
      <c r="O14" s="106">
        <f t="shared" si="9"/>
        <v>16.666666666666668</v>
      </c>
      <c r="P14" s="30">
        <f t="shared" si="10"/>
        <v>8307.9637487557648</v>
      </c>
    </row>
    <row r="15" spans="1:16" ht="24.95" customHeight="1" x14ac:dyDescent="0.25">
      <c r="A15" s="5">
        <v>10</v>
      </c>
      <c r="B15" s="75" t="str">
        <f>'Orçamento completo'!B75</f>
        <v xml:space="preserve">INSTALAÇÕES HIDRÁULICAS </v>
      </c>
      <c r="C15" s="71">
        <f>(D15*100)/D18</f>
        <v>0.70930345473895096</v>
      </c>
      <c r="D15" s="30">
        <f>'Orçamento completo'!M75</f>
        <v>3326.8967933039999</v>
      </c>
      <c r="E15" s="106">
        <f t="shared" si="0"/>
        <v>16.666666666666668</v>
      </c>
      <c r="F15" s="30">
        <f t="shared" si="11"/>
        <v>554.48279888399998</v>
      </c>
      <c r="G15" s="106">
        <f t="shared" si="1"/>
        <v>16.666666666666668</v>
      </c>
      <c r="H15" s="30">
        <f t="shared" si="2"/>
        <v>554.48279888399998</v>
      </c>
      <c r="I15" s="106">
        <f t="shared" si="3"/>
        <v>16.666666666666668</v>
      </c>
      <c r="J15" s="30">
        <f t="shared" si="4"/>
        <v>554.48279888399998</v>
      </c>
      <c r="K15" s="106">
        <f t="shared" si="5"/>
        <v>16.666666666666668</v>
      </c>
      <c r="L15" s="30">
        <f t="shared" si="6"/>
        <v>554.48279888399998</v>
      </c>
      <c r="M15" s="106">
        <f t="shared" si="7"/>
        <v>16.666666666666668</v>
      </c>
      <c r="N15" s="30">
        <f t="shared" si="8"/>
        <v>554.48279888399998</v>
      </c>
      <c r="O15" s="106">
        <f t="shared" si="9"/>
        <v>16.666666666666668</v>
      </c>
      <c r="P15" s="30">
        <f t="shared" si="10"/>
        <v>554.48279888399998</v>
      </c>
    </row>
    <row r="16" spans="1:16" ht="24.95" customHeight="1" x14ac:dyDescent="0.25">
      <c r="A16" s="5">
        <v>11</v>
      </c>
      <c r="B16" s="75" t="str">
        <f>'Orçamento completo'!B79</f>
        <v xml:space="preserve">ACESSÓRIOS E APARELHOS </v>
      </c>
      <c r="C16" s="71">
        <f>(D16*100)/D18</f>
        <v>1.385510416447356</v>
      </c>
      <c r="D16" s="30">
        <f>'Orçamento completo'!M79</f>
        <v>6498.5587350119986</v>
      </c>
      <c r="E16" s="106">
        <f t="shared" si="0"/>
        <v>16.666666666666668</v>
      </c>
      <c r="F16" s="30">
        <f t="shared" si="11"/>
        <v>1083.0931225019999</v>
      </c>
      <c r="G16" s="106">
        <f t="shared" si="1"/>
        <v>16.666666666666668</v>
      </c>
      <c r="H16" s="30">
        <f t="shared" si="2"/>
        <v>1083.0931225019999</v>
      </c>
      <c r="I16" s="106">
        <f t="shared" si="3"/>
        <v>16.666666666666668</v>
      </c>
      <c r="J16" s="30">
        <f t="shared" si="4"/>
        <v>1083.0931225019999</v>
      </c>
      <c r="K16" s="106">
        <f t="shared" si="5"/>
        <v>16.666666666666668</v>
      </c>
      <c r="L16" s="30">
        <f t="shared" si="6"/>
        <v>1083.0931225019999</v>
      </c>
      <c r="M16" s="106">
        <f t="shared" si="7"/>
        <v>16.666666666666668</v>
      </c>
      <c r="N16" s="30">
        <f t="shared" si="8"/>
        <v>1083.0931225019999</v>
      </c>
      <c r="O16" s="106">
        <f t="shared" si="9"/>
        <v>16.666666666666668</v>
      </c>
      <c r="P16" s="30">
        <f t="shared" si="10"/>
        <v>1083.0931225019999</v>
      </c>
    </row>
    <row r="17" spans="1:16" ht="24.95" customHeight="1" thickBot="1" x14ac:dyDescent="0.3">
      <c r="A17" s="107">
        <v>12</v>
      </c>
      <c r="B17" s="108" t="str">
        <f>'Orçamento completo'!B84</f>
        <v>REVESTIMENTOS E PINTURA</v>
      </c>
      <c r="C17" s="72">
        <f>(D17*100)/D18</f>
        <v>13.852824434649946</v>
      </c>
      <c r="D17" s="58">
        <f>'Orçamento completo'!M84</f>
        <v>64974.894570056516</v>
      </c>
      <c r="E17" s="109">
        <f t="shared" si="0"/>
        <v>16.666666666666668</v>
      </c>
      <c r="F17" s="58">
        <f t="shared" si="11"/>
        <v>10829.149095009421</v>
      </c>
      <c r="G17" s="109">
        <f t="shared" si="1"/>
        <v>16.666666666666668</v>
      </c>
      <c r="H17" s="58">
        <f t="shared" si="2"/>
        <v>10829.149095009421</v>
      </c>
      <c r="I17" s="109">
        <f t="shared" si="3"/>
        <v>16.666666666666668</v>
      </c>
      <c r="J17" s="58">
        <f t="shared" si="4"/>
        <v>10829.149095009421</v>
      </c>
      <c r="K17" s="109">
        <f t="shared" si="5"/>
        <v>16.666666666666668</v>
      </c>
      <c r="L17" s="58">
        <f t="shared" si="6"/>
        <v>10829.149095009421</v>
      </c>
      <c r="M17" s="106">
        <f t="shared" si="7"/>
        <v>16.666666666666668</v>
      </c>
      <c r="N17" s="30">
        <f t="shared" si="8"/>
        <v>10829.149095009421</v>
      </c>
      <c r="O17" s="106">
        <f t="shared" si="9"/>
        <v>16.666666666666668</v>
      </c>
      <c r="P17" s="30">
        <f t="shared" si="10"/>
        <v>10829.149095009421</v>
      </c>
    </row>
    <row r="18" spans="1:16" ht="24.95" customHeight="1" x14ac:dyDescent="0.25">
      <c r="A18" s="59" t="s">
        <v>12</v>
      </c>
      <c r="B18" s="60"/>
      <c r="C18" s="110">
        <v>1</v>
      </c>
      <c r="D18" s="111">
        <f>SUM(D6:D17)-0.02</f>
        <v>469037.16189122701</v>
      </c>
      <c r="E18" s="112"/>
      <c r="F18" s="111">
        <f>SUM(F6:F17)</f>
        <v>78172.863648537837</v>
      </c>
      <c r="G18" s="112"/>
      <c r="H18" s="111">
        <f>SUM(H6:H17)</f>
        <v>78172.863648537837</v>
      </c>
      <c r="I18" s="112"/>
      <c r="J18" s="111">
        <f>SUM(J6:J17)</f>
        <v>78172.863648537837</v>
      </c>
      <c r="K18" s="112"/>
      <c r="L18" s="111">
        <f>SUM(L6:L17)</f>
        <v>78172.863648537837</v>
      </c>
      <c r="M18" s="112"/>
      <c r="N18" s="111">
        <f>SUM(N6:N17)</f>
        <v>78172.863648537837</v>
      </c>
      <c r="O18" s="112"/>
      <c r="P18" s="111">
        <f>SUM(P6:P17)</f>
        <v>78172.863648537837</v>
      </c>
    </row>
    <row r="19" spans="1:16" ht="24.95" customHeight="1" thickBot="1" x14ac:dyDescent="0.3">
      <c r="A19" s="42"/>
      <c r="B19" s="52" t="s">
        <v>25</v>
      </c>
      <c r="C19" s="51"/>
      <c r="D19" s="54"/>
      <c r="E19" s="51"/>
      <c r="F19" s="31">
        <f>F18</f>
        <v>78172.863648537837</v>
      </c>
      <c r="G19" s="51"/>
      <c r="H19" s="31">
        <f>H18+F19</f>
        <v>156345.72729707567</v>
      </c>
      <c r="I19" s="51"/>
      <c r="J19" s="31">
        <f>J18+H19</f>
        <v>234518.59094561351</v>
      </c>
      <c r="K19" s="51"/>
      <c r="L19" s="31">
        <f>L18+J19</f>
        <v>312691.45459415135</v>
      </c>
      <c r="M19" s="51"/>
      <c r="N19" s="31">
        <f>N18+L19</f>
        <v>390864.31824268919</v>
      </c>
      <c r="O19" s="51"/>
      <c r="P19" s="31">
        <f>P18+N19</f>
        <v>469037.18189122702</v>
      </c>
    </row>
    <row r="20" spans="1:16" ht="24.95" customHeight="1" x14ac:dyDescent="0.25"/>
    <row r="21" spans="1:16" x14ac:dyDescent="0.25">
      <c r="B21" s="22" t="s">
        <v>182</v>
      </c>
    </row>
    <row r="22" spans="1:16" x14ac:dyDescent="0.25">
      <c r="E22" s="23" t="s">
        <v>15</v>
      </c>
      <c r="F22" s="23"/>
    </row>
    <row r="23" spans="1:16" x14ac:dyDescent="0.25">
      <c r="A23" s="18"/>
      <c r="E23" s="23" t="s">
        <v>27</v>
      </c>
      <c r="F23" s="23"/>
    </row>
    <row r="24" spans="1:16" x14ac:dyDescent="0.25">
      <c r="A24" s="18"/>
      <c r="E24" s="23" t="s">
        <v>28</v>
      </c>
      <c r="F24" s="23"/>
    </row>
    <row r="26" spans="1:16" x14ac:dyDescent="0.25">
      <c r="A26" s="18"/>
    </row>
    <row r="28" spans="1:16" ht="15.75" x14ac:dyDescent="0.25">
      <c r="B28" s="24"/>
      <c r="C28" s="24"/>
      <c r="D28" s="24"/>
      <c r="E28" s="24"/>
      <c r="F28" s="24"/>
    </row>
  </sheetData>
  <mergeCells count="3">
    <mergeCell ref="E3:P3"/>
    <mergeCell ref="A2:P2"/>
    <mergeCell ref="A1:P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3" fitToHeight="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topLeftCell="A91" workbookViewId="0">
      <selection activeCell="L11" sqref="L11"/>
    </sheetView>
  </sheetViews>
  <sheetFormatPr defaultRowHeight="15" x14ac:dyDescent="0.25"/>
  <cols>
    <col min="13" max="13" width="14.5703125" customWidth="1"/>
  </cols>
  <sheetData>
    <row r="1" spans="1:13" ht="15.75" x14ac:dyDescent="0.25">
      <c r="A1" s="119" t="s">
        <v>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 ht="15.75" x14ac:dyDescent="0.25">
      <c r="A2" s="122" t="s">
        <v>146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4"/>
    </row>
    <row r="3" spans="1:13" ht="15.75" thickBot="1" x14ac:dyDescent="0.3">
      <c r="A3" s="125" t="s">
        <v>14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7"/>
    </row>
    <row r="4" spans="1:13" ht="15.75" thickBot="1" x14ac:dyDescent="0.3">
      <c r="A4" s="116" t="s">
        <v>42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8"/>
    </row>
    <row r="5" spans="1:13" ht="15.75" thickBot="1" x14ac:dyDescent="0.3">
      <c r="A5" s="116" t="s">
        <v>181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8"/>
    </row>
    <row r="6" spans="1:13" ht="16.5" thickBot="1" x14ac:dyDescent="0.3">
      <c r="A6" s="25" t="s">
        <v>2</v>
      </c>
      <c r="B6" s="10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8</v>
      </c>
      <c r="H6" s="11" t="s">
        <v>147</v>
      </c>
      <c r="I6" s="11" t="s">
        <v>148</v>
      </c>
      <c r="J6" s="11" t="s">
        <v>149</v>
      </c>
      <c r="K6" s="11" t="s">
        <v>150</v>
      </c>
      <c r="L6" s="88" t="s">
        <v>9</v>
      </c>
      <c r="M6" s="12" t="s">
        <v>10</v>
      </c>
    </row>
    <row r="7" spans="1:13" ht="16.5" thickBot="1" x14ac:dyDescent="0.3">
      <c r="A7" s="26"/>
      <c r="B7" s="15" t="s">
        <v>183</v>
      </c>
      <c r="C7" s="9"/>
      <c r="D7" s="1"/>
      <c r="E7" s="1"/>
      <c r="F7" s="1"/>
      <c r="G7" s="1"/>
      <c r="H7" s="1"/>
      <c r="I7" s="1"/>
      <c r="J7" s="1"/>
      <c r="K7" s="1"/>
      <c r="L7" s="89"/>
      <c r="M7" s="2"/>
    </row>
    <row r="8" spans="1:13" ht="15.75" thickBot="1" x14ac:dyDescent="0.3">
      <c r="A8" s="6">
        <v>1</v>
      </c>
      <c r="B8" s="6" t="s">
        <v>43</v>
      </c>
      <c r="C8" s="8"/>
      <c r="D8" s="7"/>
      <c r="E8" s="7"/>
      <c r="F8" s="7"/>
      <c r="G8" s="7"/>
      <c r="H8" s="7"/>
      <c r="I8" s="7"/>
      <c r="J8" s="7"/>
      <c r="K8" s="7"/>
      <c r="L8" s="90"/>
      <c r="M8" s="49">
        <f>SUM(M9:M9)</f>
        <v>1573.1704477967401</v>
      </c>
    </row>
    <row r="9" spans="1:13" ht="231" thickBot="1" x14ac:dyDescent="0.3">
      <c r="A9" s="41" t="s">
        <v>11</v>
      </c>
      <c r="B9" s="79" t="s">
        <v>55</v>
      </c>
      <c r="C9" s="36">
        <v>27.1</v>
      </c>
      <c r="D9" s="37" t="s">
        <v>29</v>
      </c>
      <c r="E9" s="36" t="s">
        <v>1</v>
      </c>
      <c r="F9" s="39">
        <v>99059</v>
      </c>
      <c r="G9" s="38">
        <f>(0.7445*4.32)+(0.4125*15.54)+(0.111*13.56)+(0.0256*33.15)+(0.55*7.63)+(0.0046*426.19)+(1.5*2.24)</f>
        <v>21.497264000000001</v>
      </c>
      <c r="H9" s="38">
        <f>(0.3563*21.04)+(0.7125*23.77)+(0.0039*35.23)+(0.0168*33.98)</f>
        <v>25.140937999999998</v>
      </c>
      <c r="I9" s="48">
        <f>G9*1.2447</f>
        <v>26.757644500800001</v>
      </c>
      <c r="J9" s="38">
        <f>H9*1.2447</f>
        <v>31.292925528599994</v>
      </c>
      <c r="K9" s="48">
        <f>I9*C9</f>
        <v>725.13216597168002</v>
      </c>
      <c r="L9" s="91">
        <f>J9*C9</f>
        <v>848.03828182505993</v>
      </c>
      <c r="M9" s="46">
        <f>K9+L9</f>
        <v>1573.1704477967401</v>
      </c>
    </row>
    <row r="10" spans="1:13" ht="15.75" thickBot="1" x14ac:dyDescent="0.3">
      <c r="A10" s="6">
        <v>2</v>
      </c>
      <c r="B10" s="6" t="s">
        <v>145</v>
      </c>
      <c r="C10" s="8"/>
      <c r="D10" s="7"/>
      <c r="E10" s="7"/>
      <c r="F10" s="7"/>
      <c r="G10" s="7"/>
      <c r="H10" s="7"/>
      <c r="I10" s="7"/>
      <c r="J10" s="7"/>
      <c r="K10" s="7"/>
      <c r="L10" s="90"/>
      <c r="M10" s="49">
        <f>SUM(M11:M17)</f>
        <v>10636.031522764277</v>
      </c>
    </row>
    <row r="11" spans="1:13" ht="204.75" x14ac:dyDescent="0.25">
      <c r="A11" s="41" t="s">
        <v>33</v>
      </c>
      <c r="B11" s="68" t="s">
        <v>151</v>
      </c>
      <c r="C11" s="20">
        <f>C12*2</f>
        <v>5.08</v>
      </c>
      <c r="D11" s="87" t="s">
        <v>80</v>
      </c>
      <c r="E11" s="20" t="s">
        <v>1</v>
      </c>
      <c r="F11" s="80">
        <v>96522</v>
      </c>
      <c r="G11" s="38">
        <v>0</v>
      </c>
      <c r="H11" s="38">
        <f>(1.683*24.11)+(4.441*20.08)</f>
        <v>129.75241</v>
      </c>
      <c r="I11" s="48">
        <f>G11*1.2447</f>
        <v>0</v>
      </c>
      <c r="J11" s="38">
        <f>H11*1.2447</f>
        <v>161.50282472699999</v>
      </c>
      <c r="K11" s="48">
        <f>I11*C11</f>
        <v>0</v>
      </c>
      <c r="L11" s="91">
        <f>J11*C11</f>
        <v>820.43434961315995</v>
      </c>
      <c r="M11" s="46">
        <f>K11+L11</f>
        <v>820.43434961315995</v>
      </c>
    </row>
    <row r="12" spans="1:13" ht="192" x14ac:dyDescent="0.25">
      <c r="A12" s="27" t="s">
        <v>34</v>
      </c>
      <c r="B12" s="34" t="s">
        <v>79</v>
      </c>
      <c r="C12" s="17">
        <v>2.54</v>
      </c>
      <c r="D12" s="13" t="s">
        <v>80</v>
      </c>
      <c r="E12" s="17" t="s">
        <v>1</v>
      </c>
      <c r="F12" s="32">
        <v>102487</v>
      </c>
      <c r="G12" s="14">
        <f>(0.4543*69.25)+(0.805*430.89)</f>
        <v>378.32672500000001</v>
      </c>
      <c r="H12" s="14">
        <f>(1.6702*24.11)+(6.4684*20.08)+(0.2198*1.26)+(0.6377*0.49)</f>
        <v>170.743415</v>
      </c>
      <c r="I12" s="48">
        <f t="shared" ref="I12:J17" si="0">G12*1.2447</f>
        <v>470.90327460750001</v>
      </c>
      <c r="J12" s="38">
        <f t="shared" si="0"/>
        <v>212.5243286505</v>
      </c>
      <c r="K12" s="48">
        <f t="shared" ref="K12:K17" si="1">I12*C12</f>
        <v>1196.09431750305</v>
      </c>
      <c r="L12" s="91">
        <f t="shared" ref="L12:L17" si="2">J12*C12</f>
        <v>539.81179477226999</v>
      </c>
      <c r="M12" s="46">
        <f t="shared" ref="M12:M17" si="3">K12+L12</f>
        <v>1735.9061122753201</v>
      </c>
    </row>
    <row r="13" spans="1:13" ht="230.25" x14ac:dyDescent="0.25">
      <c r="A13" s="27" t="s">
        <v>35</v>
      </c>
      <c r="B13" s="34" t="s">
        <v>152</v>
      </c>
      <c r="C13" s="17">
        <v>21.17</v>
      </c>
      <c r="D13" s="13" t="s">
        <v>0</v>
      </c>
      <c r="E13" s="17" t="s">
        <v>1</v>
      </c>
      <c r="F13" s="32">
        <v>96536</v>
      </c>
      <c r="G13" s="14">
        <f>(0.0167*7.36)+(0.605*6.75)+(0.547*2.36)+(0.026*13.82)+(1.134*11.2)+(0.053*16.73)</f>
        <v>19.444392000000001</v>
      </c>
      <c r="H13" s="14">
        <f>(0.477*21.04)+(1.088*23.77)+(0.013*35.23)+(0.053*33.98)</f>
        <v>38.156770000000002</v>
      </c>
      <c r="I13" s="48">
        <f t="shared" si="0"/>
        <v>24.2024347224</v>
      </c>
      <c r="J13" s="38">
        <f t="shared" si="0"/>
        <v>47.493731619000002</v>
      </c>
      <c r="K13" s="48">
        <f t="shared" si="1"/>
        <v>512.36554307320807</v>
      </c>
      <c r="L13" s="91">
        <f t="shared" si="2"/>
        <v>1005.4422983742302</v>
      </c>
      <c r="M13" s="46">
        <f t="shared" si="3"/>
        <v>1517.8078414474382</v>
      </c>
    </row>
    <row r="14" spans="1:13" ht="243" x14ac:dyDescent="0.25">
      <c r="A14" s="27" t="s">
        <v>38</v>
      </c>
      <c r="B14" s="34" t="s">
        <v>153</v>
      </c>
      <c r="C14" s="17">
        <v>2.54</v>
      </c>
      <c r="D14" s="13" t="s">
        <v>80</v>
      </c>
      <c r="E14" s="17" t="s">
        <v>1</v>
      </c>
      <c r="F14" s="80">
        <v>96555</v>
      </c>
      <c r="G14" s="14">
        <f>(1.16*510.28)</f>
        <v>591.92479999999989</v>
      </c>
      <c r="H14" s="14">
        <f>(2.425*24.11)+(2.882*20.08)+(0.34*1.26)+(1.101*0.49)</f>
        <v>117.3052</v>
      </c>
      <c r="I14" s="48">
        <f t="shared" si="0"/>
        <v>736.76879855999982</v>
      </c>
      <c r="J14" s="38">
        <f t="shared" si="0"/>
        <v>146.00978243999998</v>
      </c>
      <c r="K14" s="48">
        <f t="shared" si="1"/>
        <v>1871.3927483423995</v>
      </c>
      <c r="L14" s="91">
        <f t="shared" si="2"/>
        <v>370.86484739759993</v>
      </c>
      <c r="M14" s="46">
        <f t="shared" si="3"/>
        <v>2242.2575957399995</v>
      </c>
    </row>
    <row r="15" spans="1:13" ht="243" x14ac:dyDescent="0.25">
      <c r="A15" s="27" t="s">
        <v>39</v>
      </c>
      <c r="B15" s="34" t="s">
        <v>154</v>
      </c>
      <c r="C15" s="17">
        <v>37.04</v>
      </c>
      <c r="D15" s="13" t="s">
        <v>81</v>
      </c>
      <c r="E15" s="17" t="s">
        <v>1</v>
      </c>
      <c r="F15" s="32">
        <v>92759</v>
      </c>
      <c r="G15" s="14">
        <f>(1.19*0.16)+(0.025*20)+(10.15)</f>
        <v>10.840400000000001</v>
      </c>
      <c r="H15" s="14">
        <f>(0.0175*21.13)+(0.1069*23.91)</f>
        <v>2.925754</v>
      </c>
      <c r="I15" s="48">
        <f t="shared" si="0"/>
        <v>13.49304588</v>
      </c>
      <c r="J15" s="38">
        <f t="shared" si="0"/>
        <v>3.6416860037999998</v>
      </c>
      <c r="K15" s="48">
        <f t="shared" si="1"/>
        <v>499.78241939520001</v>
      </c>
      <c r="L15" s="91">
        <f t="shared" si="2"/>
        <v>134.88804958075198</v>
      </c>
      <c r="M15" s="46">
        <f t="shared" si="3"/>
        <v>634.67046897595196</v>
      </c>
    </row>
    <row r="16" spans="1:13" ht="243" x14ac:dyDescent="0.25">
      <c r="A16" s="27" t="s">
        <v>77</v>
      </c>
      <c r="B16" s="34" t="s">
        <v>155</v>
      </c>
      <c r="C16" s="17">
        <v>113.4</v>
      </c>
      <c r="D16" s="13" t="s">
        <v>81</v>
      </c>
      <c r="E16" s="17" t="s">
        <v>1</v>
      </c>
      <c r="F16" s="32">
        <v>92762</v>
      </c>
      <c r="G16" s="14">
        <f>(0.543*0.16)+(0.025*20)+(9.62)</f>
        <v>10.20688</v>
      </c>
      <c r="H16" s="14">
        <f>(0.0064*21.13)+(0.0392*23.91)</f>
        <v>1.0725039999999999</v>
      </c>
      <c r="I16" s="48">
        <f t="shared" si="0"/>
        <v>12.704503535999999</v>
      </c>
      <c r="J16" s="38">
        <f t="shared" si="0"/>
        <v>1.3349457287999997</v>
      </c>
      <c r="K16" s="48">
        <f t="shared" si="1"/>
        <v>1440.6907009823999</v>
      </c>
      <c r="L16" s="91">
        <f t="shared" si="2"/>
        <v>151.38284564591999</v>
      </c>
      <c r="M16" s="46">
        <f t="shared" si="3"/>
        <v>1592.0735466283199</v>
      </c>
    </row>
    <row r="17" spans="1:13" ht="141.75" thickBot="1" x14ac:dyDescent="0.3">
      <c r="A17" s="27" t="s">
        <v>78</v>
      </c>
      <c r="B17" s="79" t="s">
        <v>156</v>
      </c>
      <c r="C17" s="17">
        <v>34.36</v>
      </c>
      <c r="D17" s="13" t="s">
        <v>0</v>
      </c>
      <c r="E17" s="17" t="s">
        <v>1</v>
      </c>
      <c r="F17" s="80">
        <v>98557</v>
      </c>
      <c r="G17" s="14">
        <f>(1.5*24.01)</f>
        <v>36.015000000000001</v>
      </c>
      <c r="H17" s="14">
        <f>(0.0969*20.92)+(0.4299*25.34)</f>
        <v>12.920814</v>
      </c>
      <c r="I17" s="48">
        <f t="shared" si="0"/>
        <v>44.827870499999996</v>
      </c>
      <c r="J17" s="38">
        <f t="shared" si="0"/>
        <v>16.0825371858</v>
      </c>
      <c r="K17" s="48">
        <f t="shared" si="1"/>
        <v>1540.2856303799999</v>
      </c>
      <c r="L17" s="91">
        <f t="shared" si="2"/>
        <v>552.595977704088</v>
      </c>
      <c r="M17" s="46">
        <f t="shared" si="3"/>
        <v>2092.8816080840879</v>
      </c>
    </row>
    <row r="18" spans="1:13" ht="15.75" thickBot="1" x14ac:dyDescent="0.3">
      <c r="A18" s="6">
        <v>3</v>
      </c>
      <c r="B18" s="6" t="s">
        <v>57</v>
      </c>
      <c r="C18" s="8"/>
      <c r="D18" s="7"/>
      <c r="E18" s="7"/>
      <c r="F18" s="7"/>
      <c r="G18" s="7"/>
      <c r="H18" s="7"/>
      <c r="I18" s="7"/>
      <c r="J18" s="7"/>
      <c r="K18" s="7"/>
      <c r="L18" s="90"/>
      <c r="M18" s="49">
        <f>SUM(M19:M24)</f>
        <v>4544.5274425652397</v>
      </c>
    </row>
    <row r="19" spans="1:13" ht="281.25" x14ac:dyDescent="0.25">
      <c r="A19" s="41" t="s">
        <v>32</v>
      </c>
      <c r="B19" s="68" t="s">
        <v>159</v>
      </c>
      <c r="C19" s="17">
        <v>15.76</v>
      </c>
      <c r="D19" s="13" t="s">
        <v>0</v>
      </c>
      <c r="E19" s="17" t="s">
        <v>1</v>
      </c>
      <c r="F19" s="82">
        <v>92413</v>
      </c>
      <c r="G19" s="14">
        <f>(0.017*7.36)+(0.027*16.73)+(0.275*110.74)</f>
        <v>31.030330000000003</v>
      </c>
      <c r="H19" s="14">
        <f>(0.376*21.04)+(2.052*23.77)</f>
        <v>56.687080000000002</v>
      </c>
      <c r="I19" s="48">
        <f>G19*1.2447</f>
        <v>38.623451750999998</v>
      </c>
      <c r="J19" s="38">
        <f>H19*1.2447</f>
        <v>70.558408475999997</v>
      </c>
      <c r="K19" s="48">
        <f>I19*C19</f>
        <v>608.70559959575996</v>
      </c>
      <c r="L19" s="91">
        <f>J19*C19</f>
        <v>1112.0005175817598</v>
      </c>
      <c r="M19" s="46">
        <f>K19+L19</f>
        <v>1720.7061171775199</v>
      </c>
    </row>
    <row r="20" spans="1:13" ht="281.25" x14ac:dyDescent="0.25">
      <c r="A20" s="41" t="s">
        <v>82</v>
      </c>
      <c r="B20" s="34" t="s">
        <v>160</v>
      </c>
      <c r="C20" s="17">
        <f>(0.2*0.15*14.1)+(0.2*0.15*13)</f>
        <v>0.81299999999999994</v>
      </c>
      <c r="D20" s="13" t="s">
        <v>80</v>
      </c>
      <c r="E20" s="17" t="s">
        <v>1</v>
      </c>
      <c r="F20" s="32">
        <v>103682</v>
      </c>
      <c r="G20" s="14">
        <f>(1.103*569.67)</f>
        <v>628.34600999999998</v>
      </c>
      <c r="H20" s="14">
        <f>(1.19*23.77)+(3.571*24.11)+(8.407*20.08)+(0.942*1.26)+(0.49*0.249)</f>
        <v>284.50459999999998</v>
      </c>
      <c r="I20" s="48">
        <f>G20*1.2447</f>
        <v>782.10227864699993</v>
      </c>
      <c r="J20" s="38">
        <f>H20*1.2447</f>
        <v>354.12287561999995</v>
      </c>
      <c r="K20" s="48">
        <f t="shared" ref="K20:K24" si="4">I20*C20</f>
        <v>635.84915254001089</v>
      </c>
      <c r="L20" s="91">
        <f t="shared" ref="L20:L24" si="5">J20*C20</f>
        <v>287.90189787905996</v>
      </c>
      <c r="M20" s="46">
        <f t="shared" ref="M20:M24" si="6">K20+L20</f>
        <v>923.75105041907091</v>
      </c>
    </row>
    <row r="21" spans="1:13" ht="204.75" x14ac:dyDescent="0.25">
      <c r="A21" s="41" t="s">
        <v>83</v>
      </c>
      <c r="B21" s="34" t="s">
        <v>161</v>
      </c>
      <c r="C21" s="20">
        <v>0.36</v>
      </c>
      <c r="D21" s="87" t="s">
        <v>80</v>
      </c>
      <c r="E21" s="20" t="s">
        <v>1</v>
      </c>
      <c r="F21" s="32">
        <v>103669</v>
      </c>
      <c r="G21" s="21">
        <f>(1.103*569.67)</f>
        <v>628.34600999999998</v>
      </c>
      <c r="H21" s="21">
        <f>(2.459*23.77)+(2.459*24.11)+(7.377*20.08)+(1.042*1.26)+(1.417*0.49)</f>
        <v>267.87432999999999</v>
      </c>
      <c r="I21" s="48">
        <f t="shared" ref="I21:J24" si="7">G21*1.2447</f>
        <v>782.10227864699993</v>
      </c>
      <c r="J21" s="38">
        <f t="shared" si="7"/>
        <v>333.42317855099998</v>
      </c>
      <c r="K21" s="48">
        <f t="shared" si="4"/>
        <v>281.55682031291997</v>
      </c>
      <c r="L21" s="91">
        <f t="shared" si="5"/>
        <v>120.03234427835999</v>
      </c>
      <c r="M21" s="46">
        <f t="shared" si="6"/>
        <v>401.58916459127994</v>
      </c>
    </row>
    <row r="22" spans="1:13" ht="243" x14ac:dyDescent="0.25">
      <c r="A22" s="41" t="s">
        <v>139</v>
      </c>
      <c r="B22" s="34" t="s">
        <v>154</v>
      </c>
      <c r="C22" s="17">
        <v>22.86</v>
      </c>
      <c r="D22" s="13" t="s">
        <v>81</v>
      </c>
      <c r="E22" s="17" t="s">
        <v>1</v>
      </c>
      <c r="F22" s="39">
        <v>92759</v>
      </c>
      <c r="G22" s="14">
        <f>(1.19*0.16)+(0.025*20)+(10.15)</f>
        <v>10.840400000000001</v>
      </c>
      <c r="H22" s="14">
        <f>(0.0175*21.13)+(0.1069*23.91)</f>
        <v>2.925754</v>
      </c>
      <c r="I22" s="48">
        <f t="shared" si="7"/>
        <v>13.49304588</v>
      </c>
      <c r="J22" s="38">
        <f t="shared" si="7"/>
        <v>3.6416860037999998</v>
      </c>
      <c r="K22" s="48">
        <f t="shared" si="4"/>
        <v>308.45102881679998</v>
      </c>
      <c r="L22" s="91">
        <f t="shared" si="5"/>
        <v>83.248942046867995</v>
      </c>
      <c r="M22" s="46">
        <f t="shared" si="6"/>
        <v>391.699970863668</v>
      </c>
    </row>
    <row r="23" spans="1:13" ht="243" x14ac:dyDescent="0.25">
      <c r="A23" s="41" t="s">
        <v>157</v>
      </c>
      <c r="B23" s="34" t="s">
        <v>89</v>
      </c>
      <c r="C23" s="17">
        <v>44.25</v>
      </c>
      <c r="D23" s="13" t="s">
        <v>81</v>
      </c>
      <c r="E23" s="17" t="s">
        <v>1</v>
      </c>
      <c r="F23" s="32">
        <v>92761</v>
      </c>
      <c r="G23" s="14">
        <f>(0.743*0.16)+(0.025*20)+(10.39)</f>
        <v>11.008880000000001</v>
      </c>
      <c r="H23" s="14">
        <f>(0.0092*21.13)+(0.0561*23.91)</f>
        <v>1.535747</v>
      </c>
      <c r="I23" s="48">
        <f t="shared" si="7"/>
        <v>13.702752936000001</v>
      </c>
      <c r="J23" s="38">
        <f t="shared" si="7"/>
        <v>1.9115442908999998</v>
      </c>
      <c r="K23" s="48">
        <f t="shared" si="4"/>
        <v>606.34681741800011</v>
      </c>
      <c r="L23" s="91">
        <f t="shared" si="5"/>
        <v>84.585834872324995</v>
      </c>
      <c r="M23" s="46">
        <f t="shared" si="6"/>
        <v>690.93265229032511</v>
      </c>
    </row>
    <row r="24" spans="1:13" ht="243.75" thickBot="1" x14ac:dyDescent="0.3">
      <c r="A24" s="41" t="s">
        <v>158</v>
      </c>
      <c r="B24" s="79" t="s">
        <v>155</v>
      </c>
      <c r="C24" s="20">
        <v>29.62</v>
      </c>
      <c r="D24" s="87" t="s">
        <v>81</v>
      </c>
      <c r="E24" s="20" t="s">
        <v>1</v>
      </c>
      <c r="F24" s="80">
        <v>92762</v>
      </c>
      <c r="G24" s="21">
        <f>(0.543*0.16)+(0.025*20)+(9.62)</f>
        <v>10.20688</v>
      </c>
      <c r="H24" s="21">
        <f>(0.0064*21.13)+(0.0392*23.91)</f>
        <v>1.0725039999999999</v>
      </c>
      <c r="I24" s="48">
        <f t="shared" si="7"/>
        <v>12.704503535999999</v>
      </c>
      <c r="J24" s="38">
        <f t="shared" si="7"/>
        <v>1.3349457287999997</v>
      </c>
      <c r="K24" s="48">
        <f t="shared" si="4"/>
        <v>376.30739473631996</v>
      </c>
      <c r="L24" s="91">
        <f t="shared" si="5"/>
        <v>39.541092487055991</v>
      </c>
      <c r="M24" s="46">
        <f t="shared" si="6"/>
        <v>415.84848722337597</v>
      </c>
    </row>
    <row r="25" spans="1:13" ht="15.75" thickBot="1" x14ac:dyDescent="0.3">
      <c r="A25" s="6">
        <v>4</v>
      </c>
      <c r="B25" s="6" t="s">
        <v>90</v>
      </c>
      <c r="C25" s="8"/>
      <c r="D25" s="7"/>
      <c r="E25" s="7"/>
      <c r="F25" s="7"/>
      <c r="G25" s="7"/>
      <c r="H25" s="7"/>
      <c r="I25" s="7"/>
      <c r="J25" s="7"/>
      <c r="K25" s="7"/>
      <c r="L25" s="90"/>
      <c r="M25" s="49">
        <f>SUM(M26:M30)</f>
        <v>12619.35713120227</v>
      </c>
    </row>
    <row r="26" spans="1:13" ht="345" x14ac:dyDescent="0.25">
      <c r="A26" s="56" t="s">
        <v>30</v>
      </c>
      <c r="B26" s="68" t="s">
        <v>164</v>
      </c>
      <c r="C26" s="44">
        <v>92.28</v>
      </c>
      <c r="D26" s="83" t="s">
        <v>0</v>
      </c>
      <c r="E26" s="20" t="s">
        <v>1</v>
      </c>
      <c r="F26" s="80">
        <v>103330</v>
      </c>
      <c r="G26" s="35">
        <f>(0.42*2.96)+(0.01*40.33)+(28.31*1.07)+(0.0098*547.04)</f>
        <v>37.299191999999998</v>
      </c>
      <c r="H26" s="35">
        <f>(1.2*24.11)+(0.6*20.08)</f>
        <v>40.98</v>
      </c>
      <c r="I26" s="48">
        <f>G26*1.2447</f>
        <v>46.426304282399997</v>
      </c>
      <c r="J26" s="38">
        <f>H26*1.2447</f>
        <v>51.007805999999995</v>
      </c>
      <c r="K26" s="48">
        <f>I26*C26</f>
        <v>4284.2193591798714</v>
      </c>
      <c r="L26" s="91">
        <f>J26*C26</f>
        <v>4707.0003376799996</v>
      </c>
      <c r="M26" s="46">
        <f>K26+L26</f>
        <v>8991.219696859871</v>
      </c>
    </row>
    <row r="27" spans="1:13" ht="294" x14ac:dyDescent="0.25">
      <c r="A27" s="27" t="s">
        <v>31</v>
      </c>
      <c r="B27" s="34" t="s">
        <v>165</v>
      </c>
      <c r="C27" s="20">
        <v>2.54</v>
      </c>
      <c r="D27" s="37" t="s">
        <v>80</v>
      </c>
      <c r="E27" s="20" t="s">
        <v>1</v>
      </c>
      <c r="F27" s="40">
        <v>101166</v>
      </c>
      <c r="G27" s="21">
        <f>(122.27*2.24)+(0.13*547.04)</f>
        <v>345.00000000000006</v>
      </c>
      <c r="H27" s="21">
        <f>(8.344*24.11)+(4.172*20.08)</f>
        <v>284.94759999999997</v>
      </c>
      <c r="I27" s="48">
        <f t="shared" ref="I27:J30" si="8">G27*1.2447</f>
        <v>429.42150000000004</v>
      </c>
      <c r="J27" s="38">
        <f t="shared" si="8"/>
        <v>354.67427771999991</v>
      </c>
      <c r="K27" s="48">
        <f t="shared" ref="K27:K30" si="9">I27*C27</f>
        <v>1090.7306100000001</v>
      </c>
      <c r="L27" s="91">
        <f t="shared" ref="L27:L30" si="10">J27*C27</f>
        <v>900.87266540879978</v>
      </c>
      <c r="M27" s="46">
        <f t="shared" ref="M27:M30" si="11">K27+L27</f>
        <v>1991.6032754087998</v>
      </c>
    </row>
    <row r="28" spans="1:13" ht="153.75" x14ac:dyDescent="0.25">
      <c r="A28" s="27" t="s">
        <v>45</v>
      </c>
      <c r="B28" s="34" t="s">
        <v>166</v>
      </c>
      <c r="C28" s="17">
        <v>7.1</v>
      </c>
      <c r="D28" s="13" t="s">
        <v>29</v>
      </c>
      <c r="E28" s="17" t="s">
        <v>1</v>
      </c>
      <c r="F28" s="32">
        <v>93186</v>
      </c>
      <c r="G28" s="14">
        <f>(0.006*7.36)+(0.352*6.75)+(6*0.16)+(0.35*116.76)+(0.49*10.39)+(0.018*462.11)</f>
        <v>57.655239999999999</v>
      </c>
      <c r="H28" s="14">
        <f>(0.376*24.11)+(0.188*20.08)</f>
        <v>12.840399999999999</v>
      </c>
      <c r="I28" s="48">
        <f t="shared" si="8"/>
        <v>71.763477227999999</v>
      </c>
      <c r="J28" s="38">
        <f t="shared" si="8"/>
        <v>15.982445879999998</v>
      </c>
      <c r="K28" s="48">
        <f t="shared" si="9"/>
        <v>509.52068831879996</v>
      </c>
      <c r="L28" s="91">
        <f t="shared" si="10"/>
        <v>113.47536574799999</v>
      </c>
      <c r="M28" s="46">
        <f t="shared" si="11"/>
        <v>622.99605406679996</v>
      </c>
    </row>
    <row r="29" spans="1:13" ht="179.25" x14ac:dyDescent="0.25">
      <c r="A29" s="27" t="s">
        <v>162</v>
      </c>
      <c r="B29" s="34" t="s">
        <v>167</v>
      </c>
      <c r="C29" s="44">
        <v>7.1</v>
      </c>
      <c r="D29" s="37" t="s">
        <v>29</v>
      </c>
      <c r="E29" s="44" t="s">
        <v>1</v>
      </c>
      <c r="F29" s="80">
        <v>93196</v>
      </c>
      <c r="G29" s="35">
        <f>(0.006*7.36)+(6*0.16)+(0.35*116.76)+(0.49*10.39)+(0.018*462.11)</f>
        <v>55.279239999999994</v>
      </c>
      <c r="H29" s="35">
        <f>(0.376*24.11)+(0.188*20.08)</f>
        <v>12.840399999999999</v>
      </c>
      <c r="I29" s="48">
        <f t="shared" si="8"/>
        <v>68.806070027999993</v>
      </c>
      <c r="J29" s="38">
        <f t="shared" si="8"/>
        <v>15.982445879999998</v>
      </c>
      <c r="K29" s="48">
        <f t="shared" si="9"/>
        <v>488.52309719879992</v>
      </c>
      <c r="L29" s="91">
        <f t="shared" si="10"/>
        <v>113.47536574799999</v>
      </c>
      <c r="M29" s="46">
        <f t="shared" si="11"/>
        <v>601.99846294679992</v>
      </c>
    </row>
    <row r="30" spans="1:13" ht="154.5" thickBot="1" x14ac:dyDescent="0.3">
      <c r="A30" s="97" t="s">
        <v>163</v>
      </c>
      <c r="B30" s="79" t="s">
        <v>168</v>
      </c>
      <c r="C30" s="20">
        <v>5</v>
      </c>
      <c r="D30" s="37" t="s">
        <v>29</v>
      </c>
      <c r="E30" s="20" t="s">
        <v>1</v>
      </c>
      <c r="F30" s="40">
        <v>93188</v>
      </c>
      <c r="G30" s="21">
        <f>(0.005*7.36)+(1.222*6.75)+(6*0.16)+(0.3*116.76)+(0.308*10.15)+(0.012*462.11)</f>
        <v>52.944819999999993</v>
      </c>
      <c r="H30" s="21">
        <f>(0.386*24.11)+(0.193*20.08)</f>
        <v>13.181899999999999</v>
      </c>
      <c r="I30" s="48">
        <f t="shared" si="8"/>
        <v>65.900417453999992</v>
      </c>
      <c r="J30" s="38">
        <f t="shared" si="8"/>
        <v>16.407510929999997</v>
      </c>
      <c r="K30" s="48">
        <f t="shared" si="9"/>
        <v>329.50208726999995</v>
      </c>
      <c r="L30" s="91">
        <f t="shared" si="10"/>
        <v>82.03755464999999</v>
      </c>
      <c r="M30" s="46">
        <f t="shared" si="11"/>
        <v>411.53964191999995</v>
      </c>
    </row>
    <row r="31" spans="1:13" ht="15.75" thickBot="1" x14ac:dyDescent="0.3">
      <c r="A31" s="6">
        <v>5</v>
      </c>
      <c r="B31" s="6" t="s">
        <v>58</v>
      </c>
      <c r="C31" s="8"/>
      <c r="D31" s="7"/>
      <c r="E31" s="7"/>
      <c r="F31" s="7"/>
      <c r="G31" s="7"/>
      <c r="H31" s="7"/>
      <c r="I31" s="7"/>
      <c r="J31" s="7"/>
      <c r="K31" s="7"/>
      <c r="L31" s="90"/>
      <c r="M31" s="49">
        <f>SUM(M32:M35)</f>
        <v>9715.5986087781002</v>
      </c>
    </row>
    <row r="32" spans="1:13" ht="294" x14ac:dyDescent="0.25">
      <c r="A32" s="41" t="s">
        <v>36</v>
      </c>
      <c r="B32" s="68" t="s">
        <v>67</v>
      </c>
      <c r="C32" s="36">
        <v>1</v>
      </c>
      <c r="D32" s="13" t="s">
        <v>37</v>
      </c>
      <c r="E32" s="36" t="s">
        <v>71</v>
      </c>
      <c r="F32" s="39">
        <v>34377</v>
      </c>
      <c r="G32" s="38">
        <v>234.12</v>
      </c>
      <c r="H32" s="38">
        <v>0</v>
      </c>
      <c r="I32" s="48">
        <f>G32*1.2447</f>
        <v>291.40916399999998</v>
      </c>
      <c r="J32" s="38">
        <f>H32*1.2447</f>
        <v>0</v>
      </c>
      <c r="K32" s="48">
        <f>I32*C32</f>
        <v>291.40916399999998</v>
      </c>
      <c r="L32" s="91">
        <f>J32*C32</f>
        <v>0</v>
      </c>
      <c r="M32" s="46">
        <f>K32+L32</f>
        <v>291.40916399999998</v>
      </c>
    </row>
    <row r="33" spans="1:13" ht="369.75" x14ac:dyDescent="0.25">
      <c r="A33" s="41" t="s">
        <v>91</v>
      </c>
      <c r="B33" s="78" t="s">
        <v>68</v>
      </c>
      <c r="C33" s="36">
        <v>5.5</v>
      </c>
      <c r="D33" s="13" t="s">
        <v>0</v>
      </c>
      <c r="E33" s="36" t="s">
        <v>1</v>
      </c>
      <c r="F33" s="39">
        <v>94570</v>
      </c>
      <c r="G33" s="38">
        <f>(9.2*0.19)+(0.8333*453.45)+(0.6233*24.27)</f>
        <v>394.73537600000003</v>
      </c>
      <c r="H33" s="38">
        <f>(0.519*24.11)+(0.259*20.08)</f>
        <v>17.713809999999999</v>
      </c>
      <c r="I33" s="48">
        <f t="shared" ref="I33:J35" si="12">G33*1.2447</f>
        <v>491.32712250719999</v>
      </c>
      <c r="J33" s="38">
        <f t="shared" si="12"/>
        <v>22.048379306999998</v>
      </c>
      <c r="K33" s="48">
        <f t="shared" ref="K33:K35" si="13">I33*C33</f>
        <v>2702.2991737896</v>
      </c>
      <c r="L33" s="91">
        <f t="shared" ref="L33:L35" si="14">J33*C33</f>
        <v>121.26608618849998</v>
      </c>
      <c r="M33" s="46">
        <f t="shared" ref="M33:M35" si="15">K33+L33</f>
        <v>2823.5652599781001</v>
      </c>
    </row>
    <row r="34" spans="1:13" ht="409.5" x14ac:dyDescent="0.25">
      <c r="A34" s="41" t="s">
        <v>92</v>
      </c>
      <c r="B34" s="33" t="s">
        <v>69</v>
      </c>
      <c r="C34" s="36">
        <v>4</v>
      </c>
      <c r="D34" s="13" t="s">
        <v>37</v>
      </c>
      <c r="E34" s="36" t="s">
        <v>1</v>
      </c>
      <c r="F34" s="39">
        <v>91314</v>
      </c>
      <c r="G34" s="38">
        <f>(457.3+392+109.73)+(10*11.13)</f>
        <v>1070.33</v>
      </c>
      <c r="H34" s="38">
        <v>0</v>
      </c>
      <c r="I34" s="48">
        <f t="shared" si="12"/>
        <v>1332.2397509999998</v>
      </c>
      <c r="J34" s="38">
        <f t="shared" si="12"/>
        <v>0</v>
      </c>
      <c r="K34" s="48">
        <f t="shared" si="13"/>
        <v>5328.9590039999994</v>
      </c>
      <c r="L34" s="91">
        <f t="shared" si="14"/>
        <v>0</v>
      </c>
      <c r="M34" s="46">
        <f t="shared" si="15"/>
        <v>5328.9590039999994</v>
      </c>
    </row>
    <row r="35" spans="1:13" ht="409.6" thickBot="1" x14ac:dyDescent="0.3">
      <c r="A35" s="41" t="s">
        <v>169</v>
      </c>
      <c r="B35" s="47" t="s">
        <v>70</v>
      </c>
      <c r="C35" s="17">
        <v>1</v>
      </c>
      <c r="D35" s="13" t="s">
        <v>37</v>
      </c>
      <c r="E35" s="17" t="s">
        <v>1</v>
      </c>
      <c r="F35" s="32">
        <v>91313</v>
      </c>
      <c r="G35" s="14">
        <f>(426.82+392+93.77)+(9.8*11.13)</f>
        <v>1021.664</v>
      </c>
      <c r="H35" s="14">
        <v>0</v>
      </c>
      <c r="I35" s="48">
        <f t="shared" si="12"/>
        <v>1271.6651807999999</v>
      </c>
      <c r="J35" s="38">
        <f t="shared" si="12"/>
        <v>0</v>
      </c>
      <c r="K35" s="48">
        <f t="shared" si="13"/>
        <v>1271.6651807999999</v>
      </c>
      <c r="L35" s="91">
        <f t="shared" si="14"/>
        <v>0</v>
      </c>
      <c r="M35" s="46">
        <f t="shared" si="15"/>
        <v>1271.6651807999999</v>
      </c>
    </row>
    <row r="36" spans="1:13" ht="15.75" thickBot="1" x14ac:dyDescent="0.3">
      <c r="A36" s="6">
        <v>6</v>
      </c>
      <c r="B36" s="6" t="s">
        <v>44</v>
      </c>
      <c r="C36" s="8"/>
      <c r="D36" s="7"/>
      <c r="E36" s="7"/>
      <c r="F36" s="7"/>
      <c r="G36" s="7"/>
      <c r="H36" s="7"/>
      <c r="I36" s="7"/>
      <c r="J36" s="7"/>
      <c r="K36" s="7"/>
      <c r="L36" s="90"/>
      <c r="M36" s="49">
        <f>SUM(M37:M42)</f>
        <v>7687.9052553258716</v>
      </c>
    </row>
    <row r="37" spans="1:13" ht="115.5" x14ac:dyDescent="0.25">
      <c r="A37" s="41" t="s">
        <v>41</v>
      </c>
      <c r="B37" s="68" t="s">
        <v>172</v>
      </c>
      <c r="C37" s="36">
        <v>11.8</v>
      </c>
      <c r="D37" s="37" t="s">
        <v>80</v>
      </c>
      <c r="E37" s="36" t="s">
        <v>1</v>
      </c>
      <c r="F37" s="80">
        <v>94319</v>
      </c>
      <c r="G37" s="38">
        <f>(1.3889*39.32)</f>
        <v>54.611547999999999</v>
      </c>
      <c r="H37" s="38">
        <f>(0.0054*314.11)+(0.0006*69.74)+(0.7866*20.08)+(0.1962*41.92)</f>
        <v>25.757669999999997</v>
      </c>
      <c r="I37" s="48">
        <f>G37*1.2447</f>
        <v>67.9749937956</v>
      </c>
      <c r="J37" s="38">
        <f>H37*1.2447</f>
        <v>32.060571848999992</v>
      </c>
      <c r="K37" s="48">
        <f>I37*C37</f>
        <v>802.10492678808009</v>
      </c>
      <c r="L37" s="91">
        <f>J37*C37</f>
        <v>378.31474781819992</v>
      </c>
      <c r="M37" s="46">
        <f>K37+L37</f>
        <v>1180.4196746062801</v>
      </c>
    </row>
    <row r="38" spans="1:13" ht="255.75" x14ac:dyDescent="0.25">
      <c r="A38" s="41" t="s">
        <v>170</v>
      </c>
      <c r="B38" s="34" t="s">
        <v>173</v>
      </c>
      <c r="C38" s="36">
        <v>3.93</v>
      </c>
      <c r="D38" s="37" t="s">
        <v>80</v>
      </c>
      <c r="E38" s="17" t="s">
        <v>1</v>
      </c>
      <c r="F38" s="32">
        <v>100324</v>
      </c>
      <c r="G38" s="14">
        <f>(0.595*74.07)+(0.595*73.68)</f>
        <v>87.911249999999995</v>
      </c>
      <c r="H38" s="14">
        <f>(1.579*24.11)+(0.634*20.08)</f>
        <v>50.800409999999999</v>
      </c>
      <c r="I38" s="48">
        <f t="shared" ref="I38:J42" si="16">G38*1.2447</f>
        <v>109.42313287499999</v>
      </c>
      <c r="J38" s="38">
        <f t="shared" si="16"/>
        <v>63.231270326999997</v>
      </c>
      <c r="K38" s="48">
        <f t="shared" ref="K38:K42" si="17">I38*C38</f>
        <v>430.03291219875001</v>
      </c>
      <c r="L38" s="91">
        <f t="shared" ref="L38:L42" si="18">J38*C38</f>
        <v>248.49889238511</v>
      </c>
      <c r="M38" s="46">
        <f t="shared" ref="M38:M42" si="19">K38+L38</f>
        <v>678.53180458385998</v>
      </c>
    </row>
    <row r="39" spans="1:13" ht="332.25" x14ac:dyDescent="0.25">
      <c r="A39" s="41" t="s">
        <v>93</v>
      </c>
      <c r="B39" s="34" t="s">
        <v>174</v>
      </c>
      <c r="C39" s="17">
        <v>40.5</v>
      </c>
      <c r="D39" s="13" t="s">
        <v>0</v>
      </c>
      <c r="E39" s="17" t="s">
        <v>1</v>
      </c>
      <c r="F39" s="32">
        <v>87690</v>
      </c>
      <c r="G39" s="14">
        <f>(0.0607*646.11)</f>
        <v>39.218876999999999</v>
      </c>
      <c r="H39" s="14">
        <f>(0.285*24.11)+(0.142*20.08)</f>
        <v>9.7227099999999993</v>
      </c>
      <c r="I39" s="48">
        <f t="shared" si="16"/>
        <v>48.815736201899995</v>
      </c>
      <c r="J39" s="38">
        <f t="shared" si="16"/>
        <v>12.101857136999998</v>
      </c>
      <c r="K39" s="48">
        <f t="shared" si="17"/>
        <v>1977.0373161769498</v>
      </c>
      <c r="L39" s="91">
        <f t="shared" si="18"/>
        <v>490.12521404849991</v>
      </c>
      <c r="M39" s="46">
        <f t="shared" si="19"/>
        <v>2467.1625302254497</v>
      </c>
    </row>
    <row r="40" spans="1:13" ht="306.75" x14ac:dyDescent="0.25">
      <c r="A40" s="41" t="s">
        <v>94</v>
      </c>
      <c r="B40" s="79" t="s">
        <v>76</v>
      </c>
      <c r="C40" s="17">
        <v>0.75600000000000001</v>
      </c>
      <c r="D40" s="13" t="s">
        <v>0</v>
      </c>
      <c r="E40" s="17" t="s">
        <v>177</v>
      </c>
      <c r="F40" s="32">
        <v>101159</v>
      </c>
      <c r="G40" s="14">
        <f>(73.49*0.68)+(0.028*547.04)</f>
        <v>65.290319999999994</v>
      </c>
      <c r="H40" s="14">
        <f>(1.939*24.11)+(0.97*20.08)</f>
        <v>66.226889999999997</v>
      </c>
      <c r="I40" s="48">
        <f t="shared" si="16"/>
        <v>81.266861303999988</v>
      </c>
      <c r="J40" s="38">
        <f t="shared" si="16"/>
        <v>82.432609982999992</v>
      </c>
      <c r="K40" s="48">
        <f t="shared" si="17"/>
        <v>61.437747145823991</v>
      </c>
      <c r="L40" s="91">
        <f t="shared" si="18"/>
        <v>62.319053147147997</v>
      </c>
      <c r="M40" s="46">
        <f t="shared" si="19"/>
        <v>123.75680029297199</v>
      </c>
    </row>
    <row r="41" spans="1:13" ht="281.25" x14ac:dyDescent="0.25">
      <c r="A41" s="41" t="s">
        <v>95</v>
      </c>
      <c r="B41" s="34" t="s">
        <v>175</v>
      </c>
      <c r="C41" s="17">
        <v>40.5</v>
      </c>
      <c r="D41" s="13" t="s">
        <v>0</v>
      </c>
      <c r="E41" s="17" t="s">
        <v>1</v>
      </c>
      <c r="F41" s="32">
        <v>87250</v>
      </c>
      <c r="G41" s="14">
        <f>(1.071*29.4)+(9.1325*0.75)+(0.188*4.4)</f>
        <v>39.163974999999994</v>
      </c>
      <c r="H41" s="14">
        <f>(0.5143*23.98)+(0.1666*20.08)</f>
        <v>15.678242000000001</v>
      </c>
      <c r="I41" s="48">
        <f t="shared" si="16"/>
        <v>48.747399682499989</v>
      </c>
      <c r="J41" s="38">
        <f t="shared" si="16"/>
        <v>19.514707817400001</v>
      </c>
      <c r="K41" s="48">
        <f t="shared" si="17"/>
        <v>1974.2696871412495</v>
      </c>
      <c r="L41" s="91">
        <f t="shared" si="18"/>
        <v>790.34566660470011</v>
      </c>
      <c r="M41" s="46">
        <f t="shared" si="19"/>
        <v>2764.6153537459495</v>
      </c>
    </row>
    <row r="42" spans="1:13" ht="192.75" thickBot="1" x14ac:dyDescent="0.3">
      <c r="A42" s="41" t="s">
        <v>171</v>
      </c>
      <c r="B42" s="77" t="s">
        <v>176</v>
      </c>
      <c r="C42" s="17">
        <v>49.32</v>
      </c>
      <c r="D42" s="13" t="s">
        <v>29</v>
      </c>
      <c r="E42" s="17" t="s">
        <v>1</v>
      </c>
      <c r="F42" s="32">
        <v>88649</v>
      </c>
      <c r="G42" s="14">
        <f>(0.15*29.4)+(0.6392*0.75)+(0.09*4.4)</f>
        <v>5.2853999999999992</v>
      </c>
      <c r="H42" s="14">
        <f>(0.0764*23.98)+(0.0296*20.08)</f>
        <v>2.4264399999999999</v>
      </c>
      <c r="I42" s="48">
        <f t="shared" si="16"/>
        <v>6.5787373799999989</v>
      </c>
      <c r="J42" s="38">
        <f t="shared" si="16"/>
        <v>3.0201898679999997</v>
      </c>
      <c r="K42" s="48">
        <f t="shared" si="17"/>
        <v>324.46332758159997</v>
      </c>
      <c r="L42" s="91">
        <f t="shared" si="18"/>
        <v>148.95576428976</v>
      </c>
      <c r="M42" s="46">
        <f t="shared" si="19"/>
        <v>473.41909187135997</v>
      </c>
    </row>
    <row r="43" spans="1:13" ht="15.75" thickBot="1" x14ac:dyDescent="0.3">
      <c r="A43" s="6">
        <v>7</v>
      </c>
      <c r="B43" s="6" t="s">
        <v>59</v>
      </c>
      <c r="C43" s="8"/>
      <c r="D43" s="7"/>
      <c r="E43" s="7"/>
      <c r="F43" s="7"/>
      <c r="G43" s="7"/>
      <c r="H43" s="7"/>
      <c r="I43" s="7"/>
      <c r="J43" s="7"/>
      <c r="K43" s="7"/>
      <c r="L43" s="90"/>
      <c r="M43" s="49">
        <f>SUM(M44:M49)</f>
        <v>15305.889727495107</v>
      </c>
    </row>
    <row r="44" spans="1:13" ht="357.75" x14ac:dyDescent="0.25">
      <c r="A44" s="41" t="s">
        <v>40</v>
      </c>
      <c r="B44" s="79" t="s">
        <v>72</v>
      </c>
      <c r="C44" s="94">
        <v>3</v>
      </c>
      <c r="D44" s="13" t="s">
        <v>37</v>
      </c>
      <c r="E44" s="20" t="s">
        <v>1</v>
      </c>
      <c r="F44" s="43">
        <v>92558</v>
      </c>
      <c r="G44" s="14">
        <f>(3.5*12.65)+(13.5*16.81)+(3*11.23)+(33.47)+(1.65*13.54)+(406.43)</f>
        <v>767.14100000000008</v>
      </c>
      <c r="H44" s="14">
        <f>(2.594*21.04)+(11.241*23.77)</f>
        <v>321.77632999999997</v>
      </c>
      <c r="I44" s="48">
        <f>G44*1.2447</f>
        <v>954.86040270000001</v>
      </c>
      <c r="J44" s="38">
        <f>H44*1.2447</f>
        <v>400.51499795099994</v>
      </c>
      <c r="K44" s="48">
        <f>I44*C44</f>
        <v>2864.5812080999999</v>
      </c>
      <c r="L44" s="91">
        <f>J44*C44</f>
        <v>1201.5449938529998</v>
      </c>
      <c r="M44" s="46">
        <f>K44+L44</f>
        <v>4066.1262019529995</v>
      </c>
    </row>
    <row r="45" spans="1:13" ht="332.25" x14ac:dyDescent="0.25">
      <c r="A45" s="41" t="s">
        <v>96</v>
      </c>
      <c r="B45" s="34" t="s">
        <v>73</v>
      </c>
      <c r="C45" s="95">
        <v>60.37</v>
      </c>
      <c r="D45" s="13" t="s">
        <v>0</v>
      </c>
      <c r="E45" s="20" t="s">
        <v>1</v>
      </c>
      <c r="F45" s="13">
        <v>92543</v>
      </c>
      <c r="G45" s="14">
        <f>(0.634*16.81)+(0.03*13.66)</f>
        <v>11.06734</v>
      </c>
      <c r="H45" s="14">
        <f>(0.065*21.04)+(0.118*23.77)+(0.0046*30.9)+(0.0064*29.99)</f>
        <v>4.5065359999999997</v>
      </c>
      <c r="I45" s="48">
        <f t="shared" ref="I45:J49" si="20">G45*1.2447</f>
        <v>13.775518097999999</v>
      </c>
      <c r="J45" s="38">
        <f t="shared" si="20"/>
        <v>5.6092853591999994</v>
      </c>
      <c r="K45" s="48">
        <f t="shared" ref="K45:K49" si="21">I45*C45</f>
        <v>831.62802757625991</v>
      </c>
      <c r="L45" s="91">
        <f t="shared" ref="L45:L49" si="22">J45*C45</f>
        <v>338.63255713490395</v>
      </c>
      <c r="M45" s="46">
        <f t="shared" ref="M45:M49" si="23">K45+L45</f>
        <v>1170.2605847111638</v>
      </c>
    </row>
    <row r="46" spans="1:13" ht="345" x14ac:dyDescent="0.25">
      <c r="A46" s="41" t="s">
        <v>64</v>
      </c>
      <c r="B46" s="34" t="s">
        <v>74</v>
      </c>
      <c r="C46" s="95">
        <v>60.37</v>
      </c>
      <c r="D46" s="13" t="s">
        <v>0</v>
      </c>
      <c r="E46" s="20" t="s">
        <v>1</v>
      </c>
      <c r="F46" s="13">
        <v>94210</v>
      </c>
      <c r="G46" s="14">
        <f>(1.26*0.27)+(1.26*4.05)+(1.357*29.23)</f>
        <v>45.108309999999996</v>
      </c>
      <c r="H46" s="14">
        <f>(0.166*20.08)+(0.128*23.55)+(0.0053*30.9)+(0.0073*29.99)</f>
        <v>6.7303770000000007</v>
      </c>
      <c r="I46" s="48">
        <f t="shared" si="20"/>
        <v>56.146313456999991</v>
      </c>
      <c r="J46" s="38">
        <f t="shared" si="20"/>
        <v>8.3773002518999995</v>
      </c>
      <c r="K46" s="48">
        <f t="shared" si="21"/>
        <v>3389.5529433990891</v>
      </c>
      <c r="L46" s="91">
        <f t="shared" si="22"/>
        <v>505.73761620720296</v>
      </c>
      <c r="M46" s="46">
        <f t="shared" si="23"/>
        <v>3895.2905596062919</v>
      </c>
    </row>
    <row r="47" spans="1:13" ht="204.75" x14ac:dyDescent="0.25">
      <c r="A47" s="41" t="s">
        <v>65</v>
      </c>
      <c r="B47" s="34" t="s">
        <v>75</v>
      </c>
      <c r="C47" s="95">
        <v>8.0500000000000007</v>
      </c>
      <c r="D47" s="13" t="s">
        <v>29</v>
      </c>
      <c r="E47" s="20" t="s">
        <v>1</v>
      </c>
      <c r="F47" s="13">
        <v>94223</v>
      </c>
      <c r="G47" s="14">
        <f>(4.2*0.27)+(4.2*4.05)+(1.029*61.83)</f>
        <v>81.76706999999999</v>
      </c>
      <c r="H47" s="14">
        <f>(0.073*20.08)+(0.06*23.55)+(0.0018*30.9)+(0.0026*29.99)</f>
        <v>3.0124339999999998</v>
      </c>
      <c r="I47" s="48">
        <f t="shared" si="20"/>
        <v>101.77547202899999</v>
      </c>
      <c r="J47" s="38">
        <f t="shared" si="20"/>
        <v>3.7495765997999997</v>
      </c>
      <c r="K47" s="48">
        <f t="shared" si="21"/>
        <v>819.29254983344993</v>
      </c>
      <c r="L47" s="91">
        <f t="shared" si="22"/>
        <v>30.18409162839</v>
      </c>
      <c r="M47" s="46">
        <f t="shared" si="23"/>
        <v>849.4766414618399</v>
      </c>
    </row>
    <row r="48" spans="1:13" ht="230.25" x14ac:dyDescent="0.25">
      <c r="A48" s="41" t="s">
        <v>66</v>
      </c>
      <c r="B48" s="34" t="s">
        <v>179</v>
      </c>
      <c r="C48" s="95">
        <f>40.5+14.4</f>
        <v>54.9</v>
      </c>
      <c r="D48" s="13" t="s">
        <v>0</v>
      </c>
      <c r="E48" s="20" t="s">
        <v>1</v>
      </c>
      <c r="F48" s="13">
        <v>96111</v>
      </c>
      <c r="G48" s="14">
        <f>(1.0363*30.19)+(2.2212*6.13)+(2.0446*2.31)+(0.0204*28.91)+(0.0336*49.56)+(0.0616*23.23)</f>
        <v>53.310827000000003</v>
      </c>
      <c r="H48" s="14">
        <f>(0.6968*27.5)</f>
        <v>19.161999999999999</v>
      </c>
      <c r="I48" s="48">
        <f t="shared" si="20"/>
        <v>66.355986366899998</v>
      </c>
      <c r="J48" s="38">
        <f t="shared" si="20"/>
        <v>23.850941399999996</v>
      </c>
      <c r="K48" s="48">
        <f t="shared" si="21"/>
        <v>3642.9436515428097</v>
      </c>
      <c r="L48" s="91">
        <f t="shared" si="22"/>
        <v>1309.4166828599998</v>
      </c>
      <c r="M48" s="46">
        <f t="shared" si="23"/>
        <v>4952.3603344028097</v>
      </c>
    </row>
    <row r="49" spans="1:13" ht="90.75" thickBot="1" x14ac:dyDescent="0.3">
      <c r="A49" s="41" t="s">
        <v>178</v>
      </c>
      <c r="B49" s="79" t="s">
        <v>103</v>
      </c>
      <c r="C49" s="96">
        <v>52.12</v>
      </c>
      <c r="D49" s="13" t="s">
        <v>29</v>
      </c>
      <c r="E49" s="20" t="s">
        <v>71</v>
      </c>
      <c r="F49" s="40">
        <v>36250</v>
      </c>
      <c r="G49" s="14">
        <v>5.74</v>
      </c>
      <c r="H49" s="14">
        <v>0</v>
      </c>
      <c r="I49" s="48">
        <f t="shared" si="20"/>
        <v>7.1445780000000001</v>
      </c>
      <c r="J49" s="38">
        <f t="shared" si="20"/>
        <v>0</v>
      </c>
      <c r="K49" s="48">
        <f t="shared" si="21"/>
        <v>372.37540536</v>
      </c>
      <c r="L49" s="91">
        <f t="shared" si="22"/>
        <v>0</v>
      </c>
      <c r="M49" s="46">
        <f t="shared" si="23"/>
        <v>372.37540536</v>
      </c>
    </row>
    <row r="50" spans="1:13" ht="15.75" thickBot="1" x14ac:dyDescent="0.3">
      <c r="A50" s="6">
        <v>8</v>
      </c>
      <c r="B50" s="6" t="s">
        <v>54</v>
      </c>
      <c r="C50" s="8"/>
      <c r="D50" s="7"/>
      <c r="E50" s="7"/>
      <c r="F50" s="7"/>
      <c r="G50" s="7"/>
      <c r="H50" s="7"/>
      <c r="I50" s="7"/>
      <c r="J50" s="7"/>
      <c r="K50" s="7"/>
      <c r="L50" s="90"/>
      <c r="M50" s="49">
        <f>SUM(M51:M62)</f>
        <v>5308.8667563783602</v>
      </c>
    </row>
    <row r="51" spans="1:13" ht="281.25" x14ac:dyDescent="0.25">
      <c r="A51" s="41" t="s">
        <v>184</v>
      </c>
      <c r="B51" s="68" t="s">
        <v>131</v>
      </c>
      <c r="C51" s="36">
        <v>1</v>
      </c>
      <c r="D51" s="13" t="s">
        <v>37</v>
      </c>
      <c r="E51" s="36" t="s">
        <v>1</v>
      </c>
      <c r="F51" s="39">
        <v>101498</v>
      </c>
      <c r="G51" s="38">
        <f>(27.36+5.92)+(3*10.73)+(2*1.56)+(37.22)+(4*0.47)+(0.06*55.49)+(40.27)+(197.85)+(0.1664*3.89)+(2*0.32)+(12.41+20.66+23.13+67.71+159.32+452.38)+(1.95*51.69)+(6.05*20.43)+(16.65*22.82)</f>
        <v>1690.386696</v>
      </c>
      <c r="H51" s="38">
        <f>(0.3897*21.56)+(3.5078*25.72)</f>
        <v>98.622547999999995</v>
      </c>
      <c r="I51" s="48">
        <f>G51*1.2447</f>
        <v>2104.0243205111997</v>
      </c>
      <c r="J51" s="38">
        <f>H51*1.2447</f>
        <v>122.75548549559998</v>
      </c>
      <c r="K51" s="48">
        <f>I51*C51</f>
        <v>2104.0243205111997</v>
      </c>
      <c r="L51" s="91">
        <f>J51*C51</f>
        <v>122.75548549559998</v>
      </c>
      <c r="M51" s="46">
        <f>K51+L51</f>
        <v>2226.7798060067998</v>
      </c>
    </row>
    <row r="52" spans="1:13" ht="281.25" x14ac:dyDescent="0.25">
      <c r="A52" s="41" t="s">
        <v>185</v>
      </c>
      <c r="B52" s="34" t="s">
        <v>180</v>
      </c>
      <c r="C52" s="36">
        <v>42</v>
      </c>
      <c r="D52" s="37" t="s">
        <v>29</v>
      </c>
      <c r="E52" s="17" t="s">
        <v>1</v>
      </c>
      <c r="F52" s="39">
        <v>91852</v>
      </c>
      <c r="G52" s="38">
        <f>(1.017*3.4)</f>
        <v>3.4577999999999998</v>
      </c>
      <c r="H52" s="38">
        <f>(0.124*21.56)+(0.124*25.72)</f>
        <v>5.8627199999999995</v>
      </c>
      <c r="I52" s="48">
        <f t="shared" ref="I52:J62" si="24">G52*1.2447</f>
        <v>4.3039236599999997</v>
      </c>
      <c r="J52" s="38">
        <f t="shared" si="24"/>
        <v>7.2973275839999987</v>
      </c>
      <c r="K52" s="48">
        <f t="shared" ref="K52:K62" si="25">I52*C52</f>
        <v>180.76479372</v>
      </c>
      <c r="L52" s="91">
        <f t="shared" ref="L52:L62" si="26">J52*C52</f>
        <v>306.48775852799997</v>
      </c>
      <c r="M52" s="46">
        <f t="shared" ref="M52:M62" si="27">K52+L52</f>
        <v>487.25255224799997</v>
      </c>
    </row>
    <row r="53" spans="1:13" ht="243" x14ac:dyDescent="0.25">
      <c r="A53" s="41" t="s">
        <v>186</v>
      </c>
      <c r="B53" s="77" t="s">
        <v>132</v>
      </c>
      <c r="C53" s="36">
        <v>108</v>
      </c>
      <c r="D53" s="37" t="s">
        <v>29</v>
      </c>
      <c r="E53" s="36" t="s">
        <v>1</v>
      </c>
      <c r="F53" s="39">
        <v>91926</v>
      </c>
      <c r="G53" s="38">
        <f>(1.2434*2.02)+(0.0094*2.92)</f>
        <v>2.5391160000000004</v>
      </c>
      <c r="H53" s="38">
        <f>(0.029*21.56)+(0.029*25.72)</f>
        <v>1.3711199999999999</v>
      </c>
      <c r="I53" s="48">
        <f t="shared" si="24"/>
        <v>3.1604376852000002</v>
      </c>
      <c r="J53" s="38">
        <f t="shared" si="24"/>
        <v>1.7066330639999998</v>
      </c>
      <c r="K53" s="48">
        <f t="shared" si="25"/>
        <v>341.32727000160003</v>
      </c>
      <c r="L53" s="91">
        <f t="shared" si="26"/>
        <v>184.31637091199997</v>
      </c>
      <c r="M53" s="46">
        <f t="shared" si="27"/>
        <v>525.64364091359994</v>
      </c>
    </row>
    <row r="54" spans="1:13" ht="243" x14ac:dyDescent="0.25">
      <c r="A54" s="41" t="s">
        <v>187</v>
      </c>
      <c r="B54" s="34" t="s">
        <v>133</v>
      </c>
      <c r="C54" s="36">
        <v>2.44</v>
      </c>
      <c r="D54" s="37" t="s">
        <v>29</v>
      </c>
      <c r="E54" s="36" t="s">
        <v>1</v>
      </c>
      <c r="F54" s="39">
        <v>91930</v>
      </c>
      <c r="G54" s="38">
        <f>(1.2434*4.83)+(0.0094*2.92)</f>
        <v>6.0330700000000004</v>
      </c>
      <c r="H54" s="38">
        <f>(0.051*21.56)+(0.051*25.72)</f>
        <v>2.4112799999999996</v>
      </c>
      <c r="I54" s="48">
        <f t="shared" si="24"/>
        <v>7.5093622289999997</v>
      </c>
      <c r="J54" s="38">
        <f t="shared" si="24"/>
        <v>3.0013202159999994</v>
      </c>
      <c r="K54" s="48">
        <f t="shared" si="25"/>
        <v>18.322843838759997</v>
      </c>
      <c r="L54" s="91">
        <f t="shared" si="26"/>
        <v>7.3232213270399988</v>
      </c>
      <c r="M54" s="46">
        <f t="shared" si="27"/>
        <v>25.646065165799996</v>
      </c>
    </row>
    <row r="55" spans="1:13" ht="243" x14ac:dyDescent="0.25">
      <c r="A55" s="41" t="s">
        <v>188</v>
      </c>
      <c r="B55" s="79" t="s">
        <v>144</v>
      </c>
      <c r="C55" s="36">
        <v>15.4</v>
      </c>
      <c r="D55" s="37" t="s">
        <v>29</v>
      </c>
      <c r="E55" s="36" t="s">
        <v>1</v>
      </c>
      <c r="F55" s="39">
        <v>91928</v>
      </c>
      <c r="G55" s="38">
        <f>(1.2434*3.36)+(0.0094*2.92)</f>
        <v>4.2052719999999999</v>
      </c>
      <c r="H55" s="38">
        <f>(0.039*21.56)+(0.039*25.72)</f>
        <v>1.8439199999999998</v>
      </c>
      <c r="I55" s="48">
        <f t="shared" si="24"/>
        <v>5.2343020584</v>
      </c>
      <c r="J55" s="38">
        <f t="shared" si="24"/>
        <v>2.2951272239999994</v>
      </c>
      <c r="K55" s="48">
        <f t="shared" si="25"/>
        <v>80.608251699359997</v>
      </c>
      <c r="L55" s="91">
        <f t="shared" si="26"/>
        <v>35.344959249599988</v>
      </c>
      <c r="M55" s="46">
        <f t="shared" si="27"/>
        <v>115.95321094895999</v>
      </c>
    </row>
    <row r="56" spans="1:13" ht="204.75" x14ac:dyDescent="0.25">
      <c r="A56" s="41" t="s">
        <v>189</v>
      </c>
      <c r="B56" s="34" t="s">
        <v>134</v>
      </c>
      <c r="C56" s="36">
        <v>4</v>
      </c>
      <c r="D56" s="13" t="s">
        <v>37</v>
      </c>
      <c r="E56" s="36" t="s">
        <v>1</v>
      </c>
      <c r="F56" s="39">
        <v>92000</v>
      </c>
      <c r="G56" s="38">
        <v>32.78</v>
      </c>
      <c r="H56" s="38">
        <v>0</v>
      </c>
      <c r="I56" s="48">
        <f t="shared" si="24"/>
        <v>40.801265999999998</v>
      </c>
      <c r="J56" s="38">
        <f t="shared" si="24"/>
        <v>0</v>
      </c>
      <c r="K56" s="48">
        <f t="shared" si="25"/>
        <v>163.20506399999999</v>
      </c>
      <c r="L56" s="91">
        <f t="shared" si="26"/>
        <v>0</v>
      </c>
      <c r="M56" s="46">
        <f t="shared" si="27"/>
        <v>163.20506399999999</v>
      </c>
    </row>
    <row r="57" spans="1:13" ht="217.5" x14ac:dyDescent="0.25">
      <c r="A57" s="41" t="s">
        <v>190</v>
      </c>
      <c r="B57" s="34" t="s">
        <v>140</v>
      </c>
      <c r="C57" s="36">
        <v>12</v>
      </c>
      <c r="D57" s="13" t="s">
        <v>37</v>
      </c>
      <c r="E57" s="36" t="s">
        <v>1</v>
      </c>
      <c r="F57" s="39">
        <v>92004</v>
      </c>
      <c r="G57" s="38">
        <v>58.17</v>
      </c>
      <c r="H57" s="38">
        <v>0</v>
      </c>
      <c r="I57" s="48">
        <f t="shared" si="24"/>
        <v>72.404198999999991</v>
      </c>
      <c r="J57" s="38">
        <f t="shared" si="24"/>
        <v>0</v>
      </c>
      <c r="K57" s="48">
        <f t="shared" si="25"/>
        <v>868.85038799999984</v>
      </c>
      <c r="L57" s="91">
        <f t="shared" si="26"/>
        <v>0</v>
      </c>
      <c r="M57" s="46">
        <f t="shared" si="27"/>
        <v>868.85038799999984</v>
      </c>
    </row>
    <row r="58" spans="1:13" ht="217.5" x14ac:dyDescent="0.25">
      <c r="A58" s="41" t="s">
        <v>191</v>
      </c>
      <c r="B58" s="79" t="s">
        <v>142</v>
      </c>
      <c r="C58" s="36">
        <v>3</v>
      </c>
      <c r="D58" s="13" t="s">
        <v>37</v>
      </c>
      <c r="E58" s="36" t="s">
        <v>1</v>
      </c>
      <c r="F58" s="39">
        <v>91961</v>
      </c>
      <c r="G58" s="38">
        <v>60.99</v>
      </c>
      <c r="H58" s="38">
        <v>0</v>
      </c>
      <c r="I58" s="48">
        <f t="shared" si="24"/>
        <v>75.914253000000002</v>
      </c>
      <c r="J58" s="38">
        <f t="shared" si="24"/>
        <v>0</v>
      </c>
      <c r="K58" s="48">
        <f t="shared" si="25"/>
        <v>227.74275900000001</v>
      </c>
      <c r="L58" s="91">
        <f t="shared" si="26"/>
        <v>0</v>
      </c>
      <c r="M58" s="46">
        <f t="shared" si="27"/>
        <v>227.74275900000001</v>
      </c>
    </row>
    <row r="59" spans="1:13" ht="204.75" x14ac:dyDescent="0.25">
      <c r="A59" s="41" t="s">
        <v>192</v>
      </c>
      <c r="B59" s="34" t="s">
        <v>135</v>
      </c>
      <c r="C59" s="36">
        <v>4</v>
      </c>
      <c r="D59" s="13" t="s">
        <v>37</v>
      </c>
      <c r="E59" s="36" t="s">
        <v>1</v>
      </c>
      <c r="F59" s="39">
        <v>91954</v>
      </c>
      <c r="G59" s="38">
        <v>11.19</v>
      </c>
      <c r="H59" s="38">
        <f>(0.317*21.56)+(0.317*25.72)</f>
        <v>14.98776</v>
      </c>
      <c r="I59" s="48">
        <f t="shared" si="24"/>
        <v>13.928192999999998</v>
      </c>
      <c r="J59" s="38">
        <f t="shared" si="24"/>
        <v>18.655264872</v>
      </c>
      <c r="K59" s="48">
        <f t="shared" si="25"/>
        <v>55.712771999999994</v>
      </c>
      <c r="L59" s="91">
        <f t="shared" si="26"/>
        <v>74.621059488</v>
      </c>
      <c r="M59" s="46">
        <f t="shared" si="27"/>
        <v>130.33383148799999</v>
      </c>
    </row>
    <row r="60" spans="1:13" ht="179.25" x14ac:dyDescent="0.25">
      <c r="A60" s="41" t="s">
        <v>193</v>
      </c>
      <c r="B60" s="34" t="s">
        <v>136</v>
      </c>
      <c r="C60" s="92">
        <v>4</v>
      </c>
      <c r="D60" s="13" t="s">
        <v>37</v>
      </c>
      <c r="E60" s="36" t="s">
        <v>1</v>
      </c>
      <c r="F60" s="39">
        <v>93655</v>
      </c>
      <c r="G60" s="38">
        <f>1.5+8.01</f>
        <v>9.51</v>
      </c>
      <c r="H60" s="38">
        <f>(0.0663*21.56)+(0.663*25.72)</f>
        <v>18.481788000000002</v>
      </c>
      <c r="I60" s="48">
        <f t="shared" si="24"/>
        <v>11.837096999999998</v>
      </c>
      <c r="J60" s="38">
        <f t="shared" si="24"/>
        <v>23.0042815236</v>
      </c>
      <c r="K60" s="48">
        <f t="shared" si="25"/>
        <v>47.348387999999993</v>
      </c>
      <c r="L60" s="91">
        <f t="shared" si="26"/>
        <v>92.017126094399998</v>
      </c>
      <c r="M60" s="46">
        <f t="shared" si="27"/>
        <v>139.3655140944</v>
      </c>
    </row>
    <row r="61" spans="1:13" ht="179.25" x14ac:dyDescent="0.25">
      <c r="A61" s="41" t="s">
        <v>194</v>
      </c>
      <c r="B61" s="34" t="s">
        <v>137</v>
      </c>
      <c r="C61" s="92">
        <v>1</v>
      </c>
      <c r="D61" s="13" t="s">
        <v>37</v>
      </c>
      <c r="E61" s="36" t="s">
        <v>1</v>
      </c>
      <c r="F61" s="39">
        <v>93658</v>
      </c>
      <c r="G61" s="38">
        <f>(1.94+11.88)</f>
        <v>13.82</v>
      </c>
      <c r="H61" s="38">
        <f>(0.1352*21.54)+(0.1352*25.72)</f>
        <v>6.3895519999999992</v>
      </c>
      <c r="I61" s="48">
        <f t="shared" si="24"/>
        <v>17.201753999999998</v>
      </c>
      <c r="J61" s="38">
        <f t="shared" si="24"/>
        <v>7.9530753743999982</v>
      </c>
      <c r="K61" s="48">
        <f t="shared" si="25"/>
        <v>17.201753999999998</v>
      </c>
      <c r="L61" s="91">
        <f t="shared" si="26"/>
        <v>7.9530753743999982</v>
      </c>
      <c r="M61" s="46">
        <f t="shared" si="27"/>
        <v>25.154829374399995</v>
      </c>
    </row>
    <row r="62" spans="1:13" ht="256.5" thickBot="1" x14ac:dyDescent="0.3">
      <c r="A62" s="41" t="s">
        <v>195</v>
      </c>
      <c r="B62" s="79" t="s">
        <v>138</v>
      </c>
      <c r="C62" s="36">
        <v>7</v>
      </c>
      <c r="D62" s="13" t="s">
        <v>37</v>
      </c>
      <c r="E62" s="36" t="s">
        <v>1</v>
      </c>
      <c r="F62" s="39">
        <v>97589</v>
      </c>
      <c r="G62" s="38">
        <f>(16.86+7.36)</f>
        <v>24.22</v>
      </c>
      <c r="H62" s="38">
        <f>(0.2231*21.56)+(0.5355*25.72)</f>
        <v>18.583095999999998</v>
      </c>
      <c r="I62" s="48">
        <f t="shared" si="24"/>
        <v>30.146633999999995</v>
      </c>
      <c r="J62" s="38">
        <f t="shared" si="24"/>
        <v>23.130379591199997</v>
      </c>
      <c r="K62" s="48">
        <f t="shared" si="25"/>
        <v>211.02643799999996</v>
      </c>
      <c r="L62" s="91">
        <f t="shared" si="26"/>
        <v>161.91265713839999</v>
      </c>
      <c r="M62" s="46">
        <f t="shared" si="27"/>
        <v>372.93909513839992</v>
      </c>
    </row>
    <row r="63" spans="1:13" ht="15.75" thickBot="1" x14ac:dyDescent="0.3">
      <c r="A63" s="6">
        <v>9</v>
      </c>
      <c r="B63" s="6" t="s">
        <v>48</v>
      </c>
      <c r="C63" s="8"/>
      <c r="D63" s="7"/>
      <c r="E63" s="7"/>
      <c r="F63" s="7"/>
      <c r="G63" s="7"/>
      <c r="H63" s="7"/>
      <c r="I63" s="7"/>
      <c r="J63" s="7"/>
      <c r="K63" s="7"/>
      <c r="L63" s="90"/>
      <c r="M63" s="49">
        <f>SUM(M64:M75)</f>
        <v>9969.5564985069177</v>
      </c>
    </row>
    <row r="64" spans="1:13" ht="255.75" x14ac:dyDescent="0.25">
      <c r="A64" s="41" t="s">
        <v>47</v>
      </c>
      <c r="B64" s="68" t="s">
        <v>106</v>
      </c>
      <c r="C64" s="36">
        <v>1.4</v>
      </c>
      <c r="D64" s="37" t="s">
        <v>29</v>
      </c>
      <c r="E64" s="36" t="s">
        <v>1</v>
      </c>
      <c r="F64" s="39">
        <v>89711</v>
      </c>
      <c r="G64" s="38">
        <f>(1.0549*6.57)+(0.0163*2.74)</f>
        <v>6.9753549999999995</v>
      </c>
      <c r="H64" s="38">
        <f>(0.293*20.55)+(0.293*25.45)</f>
        <v>13.477999999999998</v>
      </c>
      <c r="I64" s="48">
        <f>G64*1.2447</f>
        <v>8.6822243684999982</v>
      </c>
      <c r="J64" s="38">
        <f>H64*1.2447</f>
        <v>16.776066599999996</v>
      </c>
      <c r="K64" s="48">
        <f t="shared" ref="K64:K75" si="28">I64*C64</f>
        <v>12.155114115899996</v>
      </c>
      <c r="L64" s="91">
        <f t="shared" ref="L64:L75" si="29">J64*C64</f>
        <v>23.486493239999994</v>
      </c>
      <c r="M64" s="46">
        <f t="shared" ref="M64:M75" si="30">K64+L64</f>
        <v>35.641607355899993</v>
      </c>
    </row>
    <row r="65" spans="1:13" ht="255.75" x14ac:dyDescent="0.25">
      <c r="A65" s="41" t="s">
        <v>122</v>
      </c>
      <c r="B65" s="34" t="s">
        <v>107</v>
      </c>
      <c r="C65" s="17">
        <v>2.6</v>
      </c>
      <c r="D65" s="37" t="s">
        <v>29</v>
      </c>
      <c r="E65" s="17" t="s">
        <v>1</v>
      </c>
      <c r="F65" s="32">
        <v>89712</v>
      </c>
      <c r="G65" s="14">
        <f>(1.0549*10.85)+(0.0177*2.74)</f>
        <v>11.494162999999999</v>
      </c>
      <c r="H65" s="14">
        <f>(0.3182*20.55)+(0.3182*25.45)</f>
        <v>14.6372</v>
      </c>
      <c r="I65" s="48">
        <f t="shared" ref="I65:J75" si="31">G65*1.2447</f>
        <v>14.306784686099997</v>
      </c>
      <c r="J65" s="38">
        <f t="shared" si="31"/>
        <v>18.218922839999998</v>
      </c>
      <c r="K65" s="48">
        <f t="shared" si="28"/>
        <v>37.197640183859995</v>
      </c>
      <c r="L65" s="91">
        <f t="shared" si="29"/>
        <v>47.369199383999998</v>
      </c>
      <c r="M65" s="46">
        <f t="shared" si="30"/>
        <v>84.566839567860001</v>
      </c>
    </row>
    <row r="66" spans="1:13" ht="255.75" x14ac:dyDescent="0.25">
      <c r="A66" s="41" t="s">
        <v>123</v>
      </c>
      <c r="B66" s="34" t="s">
        <v>108</v>
      </c>
      <c r="C66" s="17">
        <v>3</v>
      </c>
      <c r="D66" s="37" t="s">
        <v>29</v>
      </c>
      <c r="E66" s="17" t="s">
        <v>1</v>
      </c>
      <c r="F66" s="32">
        <v>89713</v>
      </c>
      <c r="G66" s="14">
        <f>(1.0549*14.24)+(0.0212*2.74)</f>
        <v>15.079863999999999</v>
      </c>
      <c r="H66" s="14">
        <f>(0.3813*20.55)+(0.3813*25.45)</f>
        <v>17.5398</v>
      </c>
      <c r="I66" s="48">
        <f t="shared" si="31"/>
        <v>18.769906720799998</v>
      </c>
      <c r="J66" s="38">
        <f t="shared" si="31"/>
        <v>21.831789059999998</v>
      </c>
      <c r="K66" s="48">
        <f t="shared" si="28"/>
        <v>56.309720162399998</v>
      </c>
      <c r="L66" s="91">
        <f t="shared" si="29"/>
        <v>65.495367179999988</v>
      </c>
      <c r="M66" s="46">
        <f t="shared" si="30"/>
        <v>121.80508734239999</v>
      </c>
    </row>
    <row r="67" spans="1:13" ht="255.75" x14ac:dyDescent="0.25">
      <c r="A67" s="41" t="s">
        <v>124</v>
      </c>
      <c r="B67" s="34" t="s">
        <v>109</v>
      </c>
      <c r="C67" s="17">
        <v>14.61</v>
      </c>
      <c r="D67" s="37" t="s">
        <v>29</v>
      </c>
      <c r="E67" s="17" t="s">
        <v>1</v>
      </c>
      <c r="F67" s="32">
        <v>89714</v>
      </c>
      <c r="G67" s="14">
        <f>(1.0549*15.04)+(0.0247*2.74)</f>
        <v>15.933373999999999</v>
      </c>
      <c r="H67" s="14">
        <f>(0.4444*20.55)+(0.4444*25.45)</f>
        <v>20.442399999999999</v>
      </c>
      <c r="I67" s="48">
        <f t="shared" si="31"/>
        <v>19.832270617799995</v>
      </c>
      <c r="J67" s="38">
        <f t="shared" si="31"/>
        <v>25.444655279999996</v>
      </c>
      <c r="K67" s="48">
        <f t="shared" si="28"/>
        <v>289.74947372605794</v>
      </c>
      <c r="L67" s="91">
        <f t="shared" si="29"/>
        <v>371.74641364079991</v>
      </c>
      <c r="M67" s="46">
        <f t="shared" si="30"/>
        <v>661.49588736685791</v>
      </c>
    </row>
    <row r="68" spans="1:13" ht="102.75" x14ac:dyDescent="0.25">
      <c r="A68" s="41" t="s">
        <v>125</v>
      </c>
      <c r="B68" s="34" t="s">
        <v>110</v>
      </c>
      <c r="C68" s="17">
        <v>2</v>
      </c>
      <c r="D68" s="37" t="s">
        <v>37</v>
      </c>
      <c r="E68" s="17" t="s">
        <v>71</v>
      </c>
      <c r="F68" s="32">
        <v>20157</v>
      </c>
      <c r="G68" s="14">
        <v>19.579999999999998</v>
      </c>
      <c r="H68" s="14">
        <v>0</v>
      </c>
      <c r="I68" s="48">
        <f t="shared" si="31"/>
        <v>24.371225999999997</v>
      </c>
      <c r="J68" s="38">
        <f t="shared" si="31"/>
        <v>0</v>
      </c>
      <c r="K68" s="48">
        <f t="shared" si="28"/>
        <v>48.742451999999993</v>
      </c>
      <c r="L68" s="91">
        <f t="shared" si="29"/>
        <v>0</v>
      </c>
      <c r="M68" s="46">
        <f t="shared" si="30"/>
        <v>48.742451999999993</v>
      </c>
    </row>
    <row r="69" spans="1:13" ht="141" x14ac:dyDescent="0.25">
      <c r="A69" s="41" t="s">
        <v>126</v>
      </c>
      <c r="B69" s="34" t="s">
        <v>111</v>
      </c>
      <c r="C69" s="17">
        <v>1</v>
      </c>
      <c r="D69" s="37" t="s">
        <v>37</v>
      </c>
      <c r="E69" s="17" t="s">
        <v>71</v>
      </c>
      <c r="F69" s="32">
        <v>11655</v>
      </c>
      <c r="G69" s="14">
        <v>17.16</v>
      </c>
      <c r="H69" s="14">
        <v>0</v>
      </c>
      <c r="I69" s="48">
        <f t="shared" si="31"/>
        <v>21.359051999999998</v>
      </c>
      <c r="J69" s="38">
        <f t="shared" si="31"/>
        <v>0</v>
      </c>
      <c r="K69" s="48">
        <f t="shared" si="28"/>
        <v>21.359051999999998</v>
      </c>
      <c r="L69" s="91">
        <f t="shared" si="29"/>
        <v>0</v>
      </c>
      <c r="M69" s="46">
        <f t="shared" si="30"/>
        <v>21.359051999999998</v>
      </c>
    </row>
    <row r="70" spans="1:13" ht="268.5" x14ac:dyDescent="0.25">
      <c r="A70" s="41" t="s">
        <v>127</v>
      </c>
      <c r="B70" s="34" t="s">
        <v>112</v>
      </c>
      <c r="C70" s="17">
        <v>1</v>
      </c>
      <c r="D70" s="37" t="s">
        <v>37</v>
      </c>
      <c r="E70" s="17" t="s">
        <v>1</v>
      </c>
      <c r="F70" s="32">
        <v>104327</v>
      </c>
      <c r="G70" s="93">
        <f>(0.0049*69.17)+(9.32)+(0.0075*78.37)+(0.036*2.74)</f>
        <v>10.345348000000001</v>
      </c>
      <c r="H70" s="14">
        <f>(0.1652*20.55)+(0.1652*25.45)</f>
        <v>7.5992000000000006</v>
      </c>
      <c r="I70" s="48">
        <f t="shared" si="31"/>
        <v>12.876854655600001</v>
      </c>
      <c r="J70" s="38">
        <f t="shared" si="31"/>
        <v>9.4587242400000004</v>
      </c>
      <c r="K70" s="48">
        <f t="shared" si="28"/>
        <v>12.876854655600001</v>
      </c>
      <c r="L70" s="91">
        <f t="shared" si="29"/>
        <v>9.4587242400000004</v>
      </c>
      <c r="M70" s="46">
        <f t="shared" si="30"/>
        <v>22.335578895600001</v>
      </c>
    </row>
    <row r="71" spans="1:13" ht="255.75" x14ac:dyDescent="0.25">
      <c r="A71" s="41" t="s">
        <v>128</v>
      </c>
      <c r="B71" s="34" t="s">
        <v>115</v>
      </c>
      <c r="C71" s="17">
        <v>1</v>
      </c>
      <c r="D71" s="37" t="s">
        <v>37</v>
      </c>
      <c r="E71" s="17" t="s">
        <v>1</v>
      </c>
      <c r="F71" s="32">
        <v>89707</v>
      </c>
      <c r="G71" s="14">
        <f>(0.0292*69.17)+22.13+(0.044*78.37)+(0.0154*2.74)</f>
        <v>27.640239999999999</v>
      </c>
      <c r="H71" s="14">
        <f>(0.3987*20.55)+(0.3987*25.45)</f>
        <v>18.340199999999999</v>
      </c>
      <c r="I71" s="48">
        <f t="shared" si="31"/>
        <v>34.403806727999999</v>
      </c>
      <c r="J71" s="38">
        <f t="shared" si="31"/>
        <v>22.828046939999997</v>
      </c>
      <c r="K71" s="48">
        <f t="shared" si="28"/>
        <v>34.403806727999999</v>
      </c>
      <c r="L71" s="91">
        <f t="shared" si="29"/>
        <v>22.828046939999997</v>
      </c>
      <c r="M71" s="46">
        <f t="shared" si="30"/>
        <v>57.231853667999999</v>
      </c>
    </row>
    <row r="72" spans="1:13" ht="166.5" x14ac:dyDescent="0.25">
      <c r="A72" s="41" t="s">
        <v>129</v>
      </c>
      <c r="B72" s="34" t="s">
        <v>113</v>
      </c>
      <c r="C72" s="17">
        <v>1</v>
      </c>
      <c r="D72" s="37" t="s">
        <v>37</v>
      </c>
      <c r="E72" s="17" t="s">
        <v>1</v>
      </c>
      <c r="F72" s="32">
        <v>98110</v>
      </c>
      <c r="G72" s="14">
        <f>349.68+(0.0141*210.66)</f>
        <v>352.650306</v>
      </c>
      <c r="H72" s="14">
        <f>(0.284*24.11)+(0.2231*20.08)</f>
        <v>11.327088</v>
      </c>
      <c r="I72" s="48">
        <f t="shared" si="31"/>
        <v>438.94383587819999</v>
      </c>
      <c r="J72" s="38">
        <f t="shared" si="31"/>
        <v>14.098826433599999</v>
      </c>
      <c r="K72" s="48">
        <f t="shared" si="28"/>
        <v>438.94383587819999</v>
      </c>
      <c r="L72" s="91">
        <f t="shared" si="29"/>
        <v>14.098826433599999</v>
      </c>
      <c r="M72" s="46">
        <f t="shared" si="30"/>
        <v>453.04266231179997</v>
      </c>
    </row>
    <row r="73" spans="1:13" ht="319.5" x14ac:dyDescent="0.25">
      <c r="A73" s="41" t="s">
        <v>130</v>
      </c>
      <c r="B73" s="34" t="s">
        <v>114</v>
      </c>
      <c r="C73" s="17">
        <v>1</v>
      </c>
      <c r="D73" s="37" t="s">
        <v>37</v>
      </c>
      <c r="E73" s="17" t="s">
        <v>71</v>
      </c>
      <c r="F73" s="32">
        <v>39361</v>
      </c>
      <c r="G73" s="14">
        <v>1795.3</v>
      </c>
      <c r="H73" s="14">
        <v>0</v>
      </c>
      <c r="I73" s="48">
        <f t="shared" si="31"/>
        <v>2234.6099099999997</v>
      </c>
      <c r="J73" s="38">
        <f t="shared" si="31"/>
        <v>0</v>
      </c>
      <c r="K73" s="48">
        <f t="shared" si="28"/>
        <v>2234.6099099999997</v>
      </c>
      <c r="L73" s="91">
        <f t="shared" si="29"/>
        <v>0</v>
      </c>
      <c r="M73" s="46">
        <f t="shared" si="30"/>
        <v>2234.6099099999997</v>
      </c>
    </row>
    <row r="74" spans="1:13" ht="166.5" x14ac:dyDescent="0.25">
      <c r="A74" s="41" t="s">
        <v>141</v>
      </c>
      <c r="B74" s="34" t="s">
        <v>116</v>
      </c>
      <c r="C74" s="17">
        <v>1</v>
      </c>
      <c r="D74" s="37" t="s">
        <v>37</v>
      </c>
      <c r="E74" s="17" t="s">
        <v>71</v>
      </c>
      <c r="F74" s="32">
        <v>39365</v>
      </c>
      <c r="G74" s="14">
        <v>1993.61</v>
      </c>
      <c r="H74" s="14">
        <v>0</v>
      </c>
      <c r="I74" s="48">
        <f t="shared" si="31"/>
        <v>2481.4463669999996</v>
      </c>
      <c r="J74" s="38">
        <f t="shared" si="31"/>
        <v>0</v>
      </c>
      <c r="K74" s="48">
        <f t="shared" si="28"/>
        <v>2481.4463669999996</v>
      </c>
      <c r="L74" s="91">
        <f t="shared" si="29"/>
        <v>0</v>
      </c>
      <c r="M74" s="46">
        <f t="shared" si="30"/>
        <v>2481.4463669999996</v>
      </c>
    </row>
    <row r="75" spans="1:13" ht="307.5" thickBot="1" x14ac:dyDescent="0.3">
      <c r="A75" s="41" t="s">
        <v>143</v>
      </c>
      <c r="B75" s="79" t="s">
        <v>117</v>
      </c>
      <c r="C75" s="17">
        <v>1</v>
      </c>
      <c r="D75" s="37" t="s">
        <v>37</v>
      </c>
      <c r="E75" s="17" t="s">
        <v>1</v>
      </c>
      <c r="F75" s="32">
        <v>98062</v>
      </c>
      <c r="G75" s="14">
        <f>(4*541.26)+(0.0154*5837.95)+(0.2373*2231.48)+(0.0146*759.22)+(0.3733*164.28)</f>
        <v>2856.8849700000001</v>
      </c>
      <c r="H75" s="14">
        <f>(0.4019*147.34)+(0.819*64.48)+(1.0449*24.11)+(0.821*20.08)</f>
        <v>153.70328499999999</v>
      </c>
      <c r="I75" s="48">
        <f t="shared" si="31"/>
        <v>3555.9647221589998</v>
      </c>
      <c r="J75" s="38">
        <f t="shared" si="31"/>
        <v>191.31447883949997</v>
      </c>
      <c r="K75" s="48">
        <f t="shared" si="28"/>
        <v>3555.9647221589998</v>
      </c>
      <c r="L75" s="91">
        <f t="shared" si="29"/>
        <v>191.31447883949997</v>
      </c>
      <c r="M75" s="46">
        <f t="shared" si="30"/>
        <v>3747.2792009984996</v>
      </c>
    </row>
    <row r="76" spans="1:13" ht="15.75" thickBot="1" x14ac:dyDescent="0.3">
      <c r="A76" s="6">
        <v>10</v>
      </c>
      <c r="B76" s="6" t="s">
        <v>46</v>
      </c>
      <c r="C76" s="8"/>
      <c r="D76" s="7"/>
      <c r="E76" s="7"/>
      <c r="F76" s="7"/>
      <c r="G76" s="7"/>
      <c r="H76" s="7"/>
      <c r="I76" s="7"/>
      <c r="J76" s="7"/>
      <c r="K76" s="7"/>
      <c r="L76" s="90"/>
      <c r="M76" s="49">
        <f>SUM(M77:M79)</f>
        <v>665.37935866079999</v>
      </c>
    </row>
    <row r="77" spans="1:13" ht="217.5" x14ac:dyDescent="0.25">
      <c r="A77" s="41" t="s">
        <v>49</v>
      </c>
      <c r="B77" s="68" t="s">
        <v>119</v>
      </c>
      <c r="C77" s="36">
        <v>19</v>
      </c>
      <c r="D77" s="13" t="s">
        <v>29</v>
      </c>
      <c r="E77" s="36" t="s">
        <v>1</v>
      </c>
      <c r="F77" s="39">
        <v>89356</v>
      </c>
      <c r="G77" s="38">
        <f>(1.0493*4.79)+(0.0886*2.74)</f>
        <v>5.2689110000000001</v>
      </c>
      <c r="H77" s="38">
        <f>(0.38*20.55)+(0.38*25.45)</f>
        <v>17.48</v>
      </c>
      <c r="I77" s="48">
        <f>G77*1.2447</f>
        <v>6.5582135216999999</v>
      </c>
      <c r="J77" s="38">
        <f>H77*1.2447</f>
        <v>21.757355999999998</v>
      </c>
      <c r="K77" s="48">
        <f t="shared" ref="K77:K79" si="32">I77*C77</f>
        <v>124.60605691230001</v>
      </c>
      <c r="L77" s="91">
        <f t="shared" ref="L77:L79" si="33">J77*C77</f>
        <v>413.38976399999996</v>
      </c>
      <c r="M77" s="46">
        <f t="shared" ref="M77:M79" si="34">K77+L77</f>
        <v>537.99582091229991</v>
      </c>
    </row>
    <row r="78" spans="1:13" ht="230.25" x14ac:dyDescent="0.25">
      <c r="A78" s="41" t="s">
        <v>97</v>
      </c>
      <c r="B78" s="34" t="s">
        <v>120</v>
      </c>
      <c r="C78" s="36">
        <v>3</v>
      </c>
      <c r="D78" s="37" t="s">
        <v>37</v>
      </c>
      <c r="E78" s="36" t="s">
        <v>1</v>
      </c>
      <c r="F78" s="39">
        <v>89362</v>
      </c>
      <c r="G78" s="38">
        <f>(0.0071*69.17)+(0.84)+(0.008*78.37)+(0.0338*2.74)</f>
        <v>2.0506790000000001</v>
      </c>
      <c r="H78" s="38">
        <f>(0.152*20.55)+(0.152*25.45)</f>
        <v>6.992</v>
      </c>
      <c r="I78" s="48">
        <f t="shared" ref="I78:J79" si="35">G78*1.2447</f>
        <v>2.5524801513000002</v>
      </c>
      <c r="J78" s="38">
        <f t="shared" si="35"/>
        <v>8.7029423999999995</v>
      </c>
      <c r="K78" s="48">
        <f t="shared" si="32"/>
        <v>7.6574404539000005</v>
      </c>
      <c r="L78" s="91">
        <f t="shared" si="33"/>
        <v>26.1088272</v>
      </c>
      <c r="M78" s="46">
        <f t="shared" si="34"/>
        <v>33.766267653900002</v>
      </c>
    </row>
    <row r="79" spans="1:13" ht="218.25" thickBot="1" x14ac:dyDescent="0.3">
      <c r="A79" s="41" t="s">
        <v>98</v>
      </c>
      <c r="B79" s="79" t="s">
        <v>121</v>
      </c>
      <c r="C79" s="17">
        <v>6</v>
      </c>
      <c r="D79" s="37" t="s">
        <v>37</v>
      </c>
      <c r="E79" s="17" t="s">
        <v>1</v>
      </c>
      <c r="F79" s="32">
        <v>89375</v>
      </c>
      <c r="G79" s="14">
        <f>(0.0047*69.17)+(7.64)+(0.006*78.37)+(0.0291*2.74)</f>
        <v>8.515053</v>
      </c>
      <c r="H79" s="14">
        <f>(0.0874*20.55)+(0.0874*25.45)</f>
        <v>4.0204000000000004</v>
      </c>
      <c r="I79" s="48">
        <f t="shared" si="35"/>
        <v>10.598686469099999</v>
      </c>
      <c r="J79" s="38">
        <f t="shared" si="35"/>
        <v>5.0041918800000005</v>
      </c>
      <c r="K79" s="48">
        <f t="shared" si="32"/>
        <v>63.592118814599992</v>
      </c>
      <c r="L79" s="91">
        <f t="shared" si="33"/>
        <v>30.025151280000003</v>
      </c>
      <c r="M79" s="46">
        <f t="shared" si="34"/>
        <v>93.617270094600002</v>
      </c>
    </row>
    <row r="80" spans="1:13" ht="15.75" thickBot="1" x14ac:dyDescent="0.3">
      <c r="A80" s="6">
        <v>11</v>
      </c>
      <c r="B80" s="6" t="s">
        <v>60</v>
      </c>
      <c r="C80" s="8"/>
      <c r="D80" s="7"/>
      <c r="E80" s="7"/>
      <c r="F80" s="7"/>
      <c r="G80" s="7"/>
      <c r="H80" s="7"/>
      <c r="I80" s="7"/>
      <c r="J80" s="7"/>
      <c r="K80" s="7"/>
      <c r="L80" s="90"/>
      <c r="M80" s="49">
        <f>SUM(M81:M84)</f>
        <v>1299.7117470023998</v>
      </c>
    </row>
    <row r="81" spans="1:13" ht="192" x14ac:dyDescent="0.25">
      <c r="A81" s="41" t="s">
        <v>50</v>
      </c>
      <c r="B81" s="79" t="s">
        <v>61</v>
      </c>
      <c r="C81" s="36">
        <v>1</v>
      </c>
      <c r="D81" s="37" t="s">
        <v>37</v>
      </c>
      <c r="E81" s="36" t="s">
        <v>1</v>
      </c>
      <c r="F81" s="39">
        <v>86902</v>
      </c>
      <c r="G81" s="38">
        <f>(6*17.64)+(153.3)+(0.0765*92.75)</f>
        <v>266.23537499999998</v>
      </c>
      <c r="H81" s="38">
        <f>(0.8788*25.45)+(0.4443*20.08)</f>
        <v>31.287003999999996</v>
      </c>
      <c r="I81" s="48">
        <f>G81*1.2447</f>
        <v>331.38317126249996</v>
      </c>
      <c r="J81" s="38">
        <f>H81*1.2447</f>
        <v>38.942933878799991</v>
      </c>
      <c r="K81" s="48">
        <f t="shared" ref="K81:K84" si="36">I81*C81</f>
        <v>331.38317126249996</v>
      </c>
      <c r="L81" s="91">
        <f t="shared" ref="L81:L84" si="37">J81*C81</f>
        <v>38.942933878799991</v>
      </c>
      <c r="M81" s="46">
        <f t="shared" ref="M81:M84" si="38">K81+L81</f>
        <v>370.32610514129993</v>
      </c>
    </row>
    <row r="82" spans="1:13" ht="166.5" x14ac:dyDescent="0.25">
      <c r="A82" s="41" t="s">
        <v>51</v>
      </c>
      <c r="B82" s="34" t="s">
        <v>56</v>
      </c>
      <c r="C82" s="36">
        <v>1</v>
      </c>
      <c r="D82" s="37" t="s">
        <v>37</v>
      </c>
      <c r="E82" s="17" t="s">
        <v>1</v>
      </c>
      <c r="F82" s="32">
        <v>100860</v>
      </c>
      <c r="G82" s="14">
        <f>(77.7)+(0.021*4.2)</f>
        <v>77.788200000000003</v>
      </c>
      <c r="H82" s="14">
        <f>(0.4467*25.45)+(0.1407*20.08)</f>
        <v>14.193770999999998</v>
      </c>
      <c r="I82" s="48">
        <f t="shared" ref="I82:J84" si="39">G82*1.2447</f>
        <v>96.822972539999995</v>
      </c>
      <c r="J82" s="38">
        <f t="shared" si="39"/>
        <v>17.666986763699995</v>
      </c>
      <c r="K82" s="48">
        <f t="shared" si="36"/>
        <v>96.822972539999995</v>
      </c>
      <c r="L82" s="91">
        <f t="shared" si="37"/>
        <v>17.666986763699995</v>
      </c>
      <c r="M82" s="46">
        <f t="shared" si="38"/>
        <v>114.48995930369999</v>
      </c>
    </row>
    <row r="83" spans="1:13" ht="192" x14ac:dyDescent="0.25">
      <c r="A83" s="41" t="s">
        <v>118</v>
      </c>
      <c r="B83" s="34" t="s">
        <v>62</v>
      </c>
      <c r="C83" s="17">
        <v>1</v>
      </c>
      <c r="D83" s="37" t="s">
        <v>37</v>
      </c>
      <c r="E83" s="17" t="s">
        <v>1</v>
      </c>
      <c r="F83" s="32">
        <v>86888</v>
      </c>
      <c r="G83" s="14">
        <f>(2*23.79)+(10.65)+(359.56)+(0.0881*92.75)</f>
        <v>425.961275</v>
      </c>
      <c r="H83" s="14">
        <f>(0.7791*25.45)+(0.4384*20.08)</f>
        <v>28.631167000000001</v>
      </c>
      <c r="I83" s="48">
        <f t="shared" si="39"/>
        <v>530.19399899249993</v>
      </c>
      <c r="J83" s="38">
        <f t="shared" si="39"/>
        <v>35.637213564900001</v>
      </c>
      <c r="K83" s="48">
        <f t="shared" si="36"/>
        <v>530.19399899249993</v>
      </c>
      <c r="L83" s="91">
        <f t="shared" si="37"/>
        <v>35.637213564900001</v>
      </c>
      <c r="M83" s="46">
        <f t="shared" si="38"/>
        <v>565.83121255739991</v>
      </c>
    </row>
    <row r="84" spans="1:13" ht="103.5" thickBot="1" x14ac:dyDescent="0.3">
      <c r="A84" s="103" t="s">
        <v>196</v>
      </c>
      <c r="B84" s="79" t="s">
        <v>63</v>
      </c>
      <c r="C84" s="17">
        <v>1</v>
      </c>
      <c r="D84" s="37" t="s">
        <v>37</v>
      </c>
      <c r="E84" s="17" t="s">
        <v>1</v>
      </c>
      <c r="F84" s="32">
        <v>39398</v>
      </c>
      <c r="G84" s="14">
        <v>200.1</v>
      </c>
      <c r="H84" s="14">
        <v>0</v>
      </c>
      <c r="I84" s="48">
        <f t="shared" si="39"/>
        <v>249.06446999999997</v>
      </c>
      <c r="J84" s="38">
        <f t="shared" si="39"/>
        <v>0</v>
      </c>
      <c r="K84" s="48">
        <f t="shared" si="36"/>
        <v>249.06446999999997</v>
      </c>
      <c r="L84" s="91">
        <f t="shared" si="37"/>
        <v>0</v>
      </c>
      <c r="M84" s="46">
        <f t="shared" si="38"/>
        <v>249.06446999999997</v>
      </c>
    </row>
    <row r="85" spans="1:13" ht="15.75" thickBot="1" x14ac:dyDescent="0.3">
      <c r="A85" s="6">
        <v>12</v>
      </c>
      <c r="B85" s="102" t="s">
        <v>101</v>
      </c>
      <c r="C85" s="8"/>
      <c r="D85" s="7"/>
      <c r="E85" s="7"/>
      <c r="F85" s="7"/>
      <c r="G85" s="7"/>
      <c r="H85" s="7"/>
      <c r="I85" s="7"/>
      <c r="J85" s="7"/>
      <c r="K85" s="7"/>
      <c r="L85" s="90"/>
      <c r="M85" s="49">
        <f>SUM(M86:M92)</f>
        <v>12994.978914011303</v>
      </c>
    </row>
    <row r="86" spans="1:13" ht="179.25" x14ac:dyDescent="0.25">
      <c r="A86" s="104" t="s">
        <v>52</v>
      </c>
      <c r="B86" s="98" t="s">
        <v>84</v>
      </c>
      <c r="C86" s="17">
        <f>(92.28*2)-C91</f>
        <v>173.28</v>
      </c>
      <c r="D86" s="13" t="s">
        <v>0</v>
      </c>
      <c r="E86" s="17" t="s">
        <v>1</v>
      </c>
      <c r="F86" s="82">
        <v>104641</v>
      </c>
      <c r="G86" s="14">
        <f>0.2678*13.83</f>
        <v>3.7036739999999999</v>
      </c>
      <c r="H86" s="14">
        <f>(0.1631*25.62)+(0.0544*20.08)</f>
        <v>5.2709739999999998</v>
      </c>
      <c r="I86" s="48">
        <f>G86*1.2447</f>
        <v>4.6099630277999992</v>
      </c>
      <c r="J86" s="38">
        <f>H86*1.2447</f>
        <v>6.5607813377999991</v>
      </c>
      <c r="K86" s="48">
        <f t="shared" ref="K86:K92" si="40">I86*C86</f>
        <v>798.81439345718388</v>
      </c>
      <c r="L86" s="91">
        <f t="shared" ref="L86:L92" si="41">J86*C86</f>
        <v>1136.8521902139839</v>
      </c>
      <c r="M86" s="46">
        <f t="shared" ref="M86:M92" si="42">K86+L86</f>
        <v>1935.6665836711677</v>
      </c>
    </row>
    <row r="87" spans="1:13" ht="153.75" x14ac:dyDescent="0.25">
      <c r="A87" s="101" t="s">
        <v>53</v>
      </c>
      <c r="B87" s="86" t="s">
        <v>105</v>
      </c>
      <c r="C87" s="17">
        <f>C86</f>
        <v>173.28</v>
      </c>
      <c r="D87" s="13" t="s">
        <v>0</v>
      </c>
      <c r="E87" s="17" t="s">
        <v>1</v>
      </c>
      <c r="F87" s="32">
        <v>88485</v>
      </c>
      <c r="G87" s="64">
        <f>(0.1666*7.64)</f>
        <v>1.272824</v>
      </c>
      <c r="H87" s="14">
        <f>(0.0666*25.62)+(0.0222*20.08)</f>
        <v>2.1520680000000003</v>
      </c>
      <c r="I87" s="48">
        <f t="shared" ref="I87:J92" si="43">G87*1.2447</f>
        <v>1.5842840327999999</v>
      </c>
      <c r="J87" s="38">
        <f t="shared" si="43"/>
        <v>2.6786790396000004</v>
      </c>
      <c r="K87" s="48">
        <f t="shared" si="40"/>
        <v>274.52473720358398</v>
      </c>
      <c r="L87" s="91">
        <f t="shared" si="41"/>
        <v>464.16150398188807</v>
      </c>
      <c r="M87" s="46">
        <f t="shared" si="42"/>
        <v>738.686241185472</v>
      </c>
    </row>
    <row r="88" spans="1:13" ht="192" x14ac:dyDescent="0.25">
      <c r="A88" s="101" t="s">
        <v>99</v>
      </c>
      <c r="B88" s="79" t="s">
        <v>104</v>
      </c>
      <c r="C88" s="17">
        <f>(0.8*2.1)*10</f>
        <v>16.8</v>
      </c>
      <c r="D88" s="13" t="s">
        <v>0</v>
      </c>
      <c r="E88" s="17" t="s">
        <v>1</v>
      </c>
      <c r="F88" s="32">
        <v>102219</v>
      </c>
      <c r="G88" s="64">
        <f>(0.014*23.98)+(0.1403*40.19)</f>
        <v>5.9743770000000005</v>
      </c>
      <c r="H88" s="14">
        <f>(0.3805*25.62)</f>
        <v>9.7484099999999998</v>
      </c>
      <c r="I88" s="48">
        <f t="shared" si="43"/>
        <v>7.4363070519000001</v>
      </c>
      <c r="J88" s="38">
        <f t="shared" si="43"/>
        <v>12.133845926999999</v>
      </c>
      <c r="K88" s="48">
        <f t="shared" si="40"/>
        <v>124.92995847192</v>
      </c>
      <c r="L88" s="91">
        <f t="shared" si="41"/>
        <v>203.84861157360001</v>
      </c>
      <c r="M88" s="46">
        <f t="shared" si="42"/>
        <v>328.77857004552004</v>
      </c>
    </row>
    <row r="89" spans="1:13" ht="294" x14ac:dyDescent="0.25">
      <c r="A89" s="101" t="s">
        <v>100</v>
      </c>
      <c r="B89" s="86" t="s">
        <v>85</v>
      </c>
      <c r="C89" s="17">
        <f>C86+11.28</f>
        <v>184.56</v>
      </c>
      <c r="D89" s="13" t="s">
        <v>0</v>
      </c>
      <c r="E89" s="81" t="s">
        <v>1</v>
      </c>
      <c r="F89" s="32">
        <v>87879</v>
      </c>
      <c r="G89" s="64">
        <f>(0.0037*567.86)</f>
        <v>2.1010820000000003</v>
      </c>
      <c r="H89" s="14">
        <f>(0.0681*24.11)+(0.0255*20.08)</f>
        <v>2.1539309999999996</v>
      </c>
      <c r="I89" s="48">
        <f t="shared" si="43"/>
        <v>2.6152167654</v>
      </c>
      <c r="J89" s="38">
        <f t="shared" si="43"/>
        <v>2.6809979156999995</v>
      </c>
      <c r="K89" s="48">
        <f t="shared" si="40"/>
        <v>482.66440622222399</v>
      </c>
      <c r="L89" s="91">
        <f t="shared" si="41"/>
        <v>494.80497532159188</v>
      </c>
      <c r="M89" s="46">
        <f t="shared" si="42"/>
        <v>977.46938154381587</v>
      </c>
    </row>
    <row r="90" spans="1:13" ht="396" x14ac:dyDescent="0.25">
      <c r="A90" s="101" t="s">
        <v>197</v>
      </c>
      <c r="B90" s="99" t="s">
        <v>86</v>
      </c>
      <c r="C90" s="17">
        <f>C86</f>
        <v>173.28</v>
      </c>
      <c r="D90" s="13" t="s">
        <v>0</v>
      </c>
      <c r="E90" s="81" t="s">
        <v>1</v>
      </c>
      <c r="F90" s="32">
        <v>87529</v>
      </c>
      <c r="G90" s="64">
        <f>(0.0376*547.04)</f>
        <v>20.568704</v>
      </c>
      <c r="H90" s="14">
        <f>(0.47*24.11)+(0.171*20.08)</f>
        <v>14.76538</v>
      </c>
      <c r="I90" s="48">
        <f t="shared" si="43"/>
        <v>25.601865868799997</v>
      </c>
      <c r="J90" s="38">
        <f t="shared" si="43"/>
        <v>18.378468485999999</v>
      </c>
      <c r="K90" s="48">
        <f t="shared" si="40"/>
        <v>4436.2913177456639</v>
      </c>
      <c r="L90" s="91">
        <f t="shared" si="41"/>
        <v>3184.6210192540798</v>
      </c>
      <c r="M90" s="46">
        <f t="shared" si="42"/>
        <v>7620.9123369997433</v>
      </c>
    </row>
    <row r="91" spans="1:13" ht="221.25" customHeight="1" x14ac:dyDescent="0.25">
      <c r="A91" s="101" t="s">
        <v>198</v>
      </c>
      <c r="B91" s="86" t="s">
        <v>87</v>
      </c>
      <c r="C91" s="17">
        <v>11.28</v>
      </c>
      <c r="D91" s="13" t="s">
        <v>0</v>
      </c>
      <c r="E91" s="81" t="s">
        <v>1</v>
      </c>
      <c r="F91" s="32">
        <v>87527</v>
      </c>
      <c r="G91" s="64">
        <f>(0.0376*547.04)</f>
        <v>20.568704</v>
      </c>
      <c r="H91" s="14">
        <f>(0.58*24.11)+(0.211*20.08)</f>
        <v>18.220679999999998</v>
      </c>
      <c r="I91" s="48">
        <f t="shared" si="43"/>
        <v>25.601865868799997</v>
      </c>
      <c r="J91" s="38">
        <f t="shared" si="43"/>
        <v>22.679280395999996</v>
      </c>
      <c r="K91" s="48">
        <f t="shared" si="40"/>
        <v>288.78904700006393</v>
      </c>
      <c r="L91" s="91">
        <f t="shared" si="41"/>
        <v>255.82228286687993</v>
      </c>
      <c r="M91" s="46">
        <f t="shared" si="42"/>
        <v>544.61132986694383</v>
      </c>
    </row>
    <row r="92" spans="1:13" ht="333" thickBot="1" x14ac:dyDescent="0.3">
      <c r="A92" s="105" t="s">
        <v>199</v>
      </c>
      <c r="B92" s="100" t="s">
        <v>88</v>
      </c>
      <c r="C92" s="65">
        <v>11.28</v>
      </c>
      <c r="D92" s="13" t="s">
        <v>0</v>
      </c>
      <c r="E92" s="81" t="s">
        <v>1</v>
      </c>
      <c r="F92" s="66">
        <v>99198</v>
      </c>
      <c r="G92" s="67">
        <f>(1.0618*23.37)+(0.422*4.4)+(4.91*2.3)</f>
        <v>37.964066000000003</v>
      </c>
      <c r="H92" s="14">
        <f>(0.6794*23.98)+(0.3089*20.08)</f>
        <v>22.494723999999998</v>
      </c>
      <c r="I92" s="48">
        <f t="shared" si="43"/>
        <v>47.253872950199998</v>
      </c>
      <c r="J92" s="38">
        <f t="shared" si="43"/>
        <v>27.999182962799996</v>
      </c>
      <c r="K92" s="48">
        <f t="shared" si="40"/>
        <v>533.02368687825594</v>
      </c>
      <c r="L92" s="91">
        <f t="shared" si="41"/>
        <v>315.83078382038394</v>
      </c>
      <c r="M92" s="46">
        <f t="shared" si="42"/>
        <v>848.85447069863994</v>
      </c>
    </row>
    <row r="93" spans="1:13" ht="16.5" thickBot="1" x14ac:dyDescent="0.3">
      <c r="A93" s="15" t="s">
        <v>12</v>
      </c>
      <c r="B93" s="28"/>
      <c r="C93" s="16"/>
      <c r="D93" s="16"/>
      <c r="E93" s="16"/>
      <c r="F93" s="16"/>
      <c r="G93" s="16"/>
      <c r="H93" s="16"/>
      <c r="I93" s="19"/>
      <c r="J93" s="55"/>
      <c r="K93" s="113">
        <f>M85+M80+M76+M63+M50+M43+M36+M31+M25+M18+M10+M8</f>
        <v>92320.973410487393</v>
      </c>
      <c r="L93" s="114"/>
      <c r="M93" s="115"/>
    </row>
    <row r="94" spans="1:13" x14ac:dyDescent="0.25">
      <c r="M94" s="45"/>
    </row>
    <row r="95" spans="1:13" ht="60" x14ac:dyDescent="0.25">
      <c r="B95" s="22" t="s">
        <v>182</v>
      </c>
    </row>
    <row r="97" spans="5:6" x14ac:dyDescent="0.25">
      <c r="E97" s="23" t="s">
        <v>15</v>
      </c>
      <c r="F97" s="23"/>
    </row>
    <row r="98" spans="5:6" x14ac:dyDescent="0.25">
      <c r="E98" s="23" t="s">
        <v>27</v>
      </c>
      <c r="F98" s="23"/>
    </row>
    <row r="99" spans="5:6" x14ac:dyDescent="0.25">
      <c r="E99" s="23" t="s">
        <v>28</v>
      </c>
      <c r="F99" s="23"/>
    </row>
  </sheetData>
  <mergeCells count="6">
    <mergeCell ref="K93:M93"/>
    <mergeCell ref="A1:M1"/>
    <mergeCell ref="A2:M2"/>
    <mergeCell ref="A3:M3"/>
    <mergeCell ref="A4:M4"/>
    <mergeCell ref="A5:M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completo</vt:lpstr>
      <vt:lpstr>Físico-Financeiro</vt:lpstr>
      <vt:lpstr>Orçamento 01 residência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ARQCHARRUA</cp:lastModifiedBy>
  <cp:lastPrinted>2024-05-10T18:49:15Z</cp:lastPrinted>
  <dcterms:created xsi:type="dcterms:W3CDTF">2022-04-18T19:32:17Z</dcterms:created>
  <dcterms:modified xsi:type="dcterms:W3CDTF">2024-05-10T19:49:44Z</dcterms:modified>
</cp:coreProperties>
</file>